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15" windowHeight="7965" activeTab="3"/>
  </bookViews>
  <sheets>
    <sheet name="Ratios" sheetId="4" r:id="rId1"/>
    <sheet name="Orientation" sheetId="6" r:id="rId2"/>
    <sheet name="Sheet1" sheetId="1" r:id="rId3"/>
    <sheet name="Sheet3" sheetId="3" r:id="rId4"/>
    <sheet name="Glazing" sheetId="5" r:id="rId5"/>
    <sheet name="Framing" sheetId="7" r:id="rId6"/>
  </sheets>
  <calcPr calcId="145621"/>
</workbook>
</file>

<file path=xl/calcChain.xml><?xml version="1.0" encoding="utf-8"?>
<calcChain xmlns="http://schemas.openxmlformats.org/spreadsheetml/2006/main">
  <c r="G9" i="6" l="1"/>
  <c r="G10" i="6"/>
  <c r="G11" i="6"/>
  <c r="G8" i="6"/>
  <c r="E16" i="6"/>
  <c r="E17" i="6"/>
  <c r="E18" i="6"/>
  <c r="E15" i="6"/>
  <c r="K3" i="6"/>
  <c r="K4" i="6"/>
  <c r="K5" i="6"/>
  <c r="K2" i="6"/>
  <c r="D16" i="6"/>
  <c r="D17" i="6"/>
  <c r="D18" i="6"/>
  <c r="D15" i="6"/>
  <c r="G3" i="6"/>
  <c r="G4" i="6"/>
  <c r="G5" i="6"/>
  <c r="G2" i="6"/>
  <c r="D3" i="6"/>
  <c r="D4" i="6"/>
  <c r="D5" i="6"/>
  <c r="D2" i="6"/>
  <c r="F8" i="6"/>
  <c r="O27" i="7"/>
  <c r="O26" i="7"/>
  <c r="O23" i="7"/>
  <c r="O24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" i="7"/>
  <c r="P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" i="7"/>
  <c r="I5" i="7"/>
  <c r="G5" i="7"/>
  <c r="I4" i="7"/>
  <c r="G4" i="7"/>
  <c r="J4" i="7" s="1"/>
  <c r="I3" i="7"/>
  <c r="G3" i="7"/>
  <c r="J3" i="7" s="1"/>
  <c r="I2" i="7"/>
  <c r="G2" i="7"/>
  <c r="J11" i="6"/>
  <c r="K11" i="6" s="1"/>
  <c r="J5" i="7" l="1"/>
  <c r="J2" i="7"/>
  <c r="J10" i="6"/>
  <c r="K10" i="6" s="1"/>
  <c r="J9" i="6"/>
  <c r="K9" i="6" s="1"/>
  <c r="J8" i="6"/>
  <c r="K8" i="6" s="1"/>
  <c r="F11" i="6"/>
  <c r="F10" i="6"/>
  <c r="F9" i="6"/>
  <c r="J2" i="6"/>
  <c r="F5" i="6"/>
  <c r="F4" i="6"/>
  <c r="F3" i="6"/>
  <c r="C3" i="6"/>
  <c r="L9" i="6" s="1"/>
  <c r="F2" i="6"/>
  <c r="C5" i="6"/>
  <c r="H5" i="6" s="1"/>
  <c r="C4" i="6"/>
  <c r="C2" i="6"/>
  <c r="H8" i="6" s="1"/>
  <c r="L2" i="6" l="1"/>
  <c r="H4" i="6"/>
  <c r="H10" i="6"/>
  <c r="H3" i="6"/>
  <c r="L11" i="6"/>
  <c r="L8" i="6"/>
  <c r="H11" i="6"/>
  <c r="H2" i="6"/>
  <c r="L10" i="6"/>
  <c r="H9" i="6"/>
  <c r="L5" i="6"/>
  <c r="J4" i="6"/>
  <c r="J5" i="6"/>
  <c r="J3" i="6"/>
  <c r="L3" i="6" l="1"/>
  <c r="L4" i="6"/>
  <c r="I90" i="3"/>
  <c r="K91" i="3" s="1"/>
  <c r="K110" i="3" l="1"/>
  <c r="K108" i="3"/>
  <c r="K106" i="3"/>
  <c r="K104" i="3"/>
  <c r="K102" i="3"/>
  <c r="K100" i="3"/>
  <c r="K98" i="3"/>
  <c r="K96" i="3"/>
  <c r="K94" i="3"/>
  <c r="K92" i="3"/>
  <c r="K90" i="3"/>
  <c r="K109" i="3"/>
  <c r="K107" i="3"/>
  <c r="K105" i="3"/>
  <c r="K103" i="3"/>
  <c r="K101" i="3"/>
  <c r="K99" i="3"/>
  <c r="K97" i="3"/>
  <c r="K95" i="3"/>
  <c r="K93" i="3"/>
  <c r="B7" i="4"/>
  <c r="B16" i="4"/>
  <c r="B17" i="4" s="1"/>
  <c r="B12" i="4"/>
  <c r="B9" i="4"/>
  <c r="B10" i="4" s="1"/>
  <c r="F4" i="4"/>
  <c r="I4" i="4" s="1"/>
  <c r="F2" i="4"/>
  <c r="I2" i="4" s="1"/>
  <c r="G4" i="4"/>
  <c r="K2" i="4" s="1"/>
  <c r="G2" i="4"/>
  <c r="E2" i="4"/>
  <c r="E4" i="4"/>
  <c r="I4" i="5" l="1"/>
  <c r="H3" i="1"/>
  <c r="I3" i="5"/>
  <c r="I2" i="5"/>
  <c r="C12" i="4"/>
  <c r="F7" i="4"/>
  <c r="G2" i="5" s="1"/>
  <c r="J2" i="5" s="1"/>
  <c r="H10" i="1"/>
  <c r="H9" i="1"/>
  <c r="H8" i="1"/>
  <c r="H7" i="1"/>
  <c r="H6" i="1"/>
  <c r="H2" i="1"/>
  <c r="H5" i="1"/>
  <c r="H12" i="1"/>
  <c r="H4" i="1"/>
  <c r="H11" i="1"/>
  <c r="I24" i="3"/>
  <c r="I68" i="3"/>
  <c r="I2" i="3"/>
  <c r="I46" i="3"/>
  <c r="K46" i="3" s="1"/>
  <c r="F4" i="1" l="1"/>
  <c r="F3" i="1"/>
  <c r="I3" i="1" s="1"/>
  <c r="F12" i="1"/>
  <c r="F6" i="1"/>
  <c r="G4" i="5"/>
  <c r="J4" i="5" s="1"/>
  <c r="M5" i="5" s="1"/>
  <c r="F9" i="1"/>
  <c r="F8" i="1"/>
  <c r="F11" i="1"/>
  <c r="F10" i="1"/>
  <c r="I10" i="1" s="1"/>
  <c r="F5" i="1"/>
  <c r="F7" i="1"/>
  <c r="F2" i="1"/>
  <c r="O6" i="5"/>
  <c r="O10" i="5"/>
  <c r="O14" i="5"/>
  <c r="O18" i="5"/>
  <c r="O3" i="5"/>
  <c r="O13" i="5"/>
  <c r="O22" i="5"/>
  <c r="O21" i="5"/>
  <c r="O7" i="5"/>
  <c r="O11" i="5"/>
  <c r="O15" i="5"/>
  <c r="O19" i="5"/>
  <c r="O12" i="5"/>
  <c r="O20" i="5"/>
  <c r="O9" i="5"/>
  <c r="O4" i="5"/>
  <c r="O8" i="5"/>
  <c r="O16" i="5"/>
  <c r="O5" i="5"/>
  <c r="O17" i="5"/>
  <c r="M7" i="5"/>
  <c r="M9" i="5"/>
  <c r="M13" i="5"/>
  <c r="M4" i="5"/>
  <c r="M6" i="5"/>
  <c r="M10" i="5"/>
  <c r="M14" i="5"/>
  <c r="M18" i="5"/>
  <c r="M20" i="5"/>
  <c r="M15" i="5"/>
  <c r="M19" i="5"/>
  <c r="M3" i="5"/>
  <c r="G3" i="5"/>
  <c r="J3" i="5" s="1"/>
  <c r="K30" i="3"/>
  <c r="K38" i="3"/>
  <c r="K31" i="3"/>
  <c r="K39" i="3"/>
  <c r="K32" i="3"/>
  <c r="K40" i="3"/>
  <c r="K25" i="3"/>
  <c r="K33" i="3"/>
  <c r="K41" i="3"/>
  <c r="K26" i="3"/>
  <c r="K34" i="3"/>
  <c r="K42" i="3"/>
  <c r="K27" i="3"/>
  <c r="K35" i="3"/>
  <c r="K43" i="3"/>
  <c r="K28" i="3"/>
  <c r="K36" i="3"/>
  <c r="K44" i="3"/>
  <c r="K29" i="3"/>
  <c r="K37" i="3"/>
  <c r="K24" i="3"/>
  <c r="I12" i="1"/>
  <c r="I5" i="1"/>
  <c r="I2" i="1"/>
  <c r="I8" i="1"/>
  <c r="I11" i="1"/>
  <c r="I6" i="1"/>
  <c r="I9" i="1"/>
  <c r="I4" i="1"/>
  <c r="I7" i="1"/>
  <c r="K3" i="3"/>
  <c r="K5" i="3"/>
  <c r="K7" i="3"/>
  <c r="K9" i="3"/>
  <c r="K11" i="3"/>
  <c r="K13" i="3"/>
  <c r="K15" i="3"/>
  <c r="K17" i="3"/>
  <c r="M17" i="3" s="1"/>
  <c r="K19" i="3"/>
  <c r="K21" i="3"/>
  <c r="K2" i="3"/>
  <c r="K4" i="3"/>
  <c r="M4" i="3" s="1"/>
  <c r="K6" i="3"/>
  <c r="K8" i="3"/>
  <c r="K10" i="3"/>
  <c r="K12" i="3"/>
  <c r="M12" i="3" s="1"/>
  <c r="K14" i="3"/>
  <c r="K16" i="3"/>
  <c r="K18" i="3"/>
  <c r="K20" i="3"/>
  <c r="M20" i="3" s="1"/>
  <c r="K22" i="3"/>
  <c r="M22" i="3" s="1"/>
  <c r="K88" i="3"/>
  <c r="K68" i="3"/>
  <c r="K87" i="3"/>
  <c r="K85" i="3"/>
  <c r="K83" i="3"/>
  <c r="K81" i="3"/>
  <c r="K79" i="3"/>
  <c r="K77" i="3"/>
  <c r="K75" i="3"/>
  <c r="K73" i="3"/>
  <c r="K71" i="3"/>
  <c r="K69" i="3"/>
  <c r="K86" i="3"/>
  <c r="K84" i="3"/>
  <c r="K82" i="3"/>
  <c r="K80" i="3"/>
  <c r="K78" i="3"/>
  <c r="K76" i="3"/>
  <c r="K74" i="3"/>
  <c r="K72" i="3"/>
  <c r="K70" i="3"/>
  <c r="K48" i="3"/>
  <c r="N4" i="3" s="1"/>
  <c r="K50" i="3"/>
  <c r="K52" i="3"/>
  <c r="K54" i="3"/>
  <c r="K56" i="3"/>
  <c r="N12" i="3" s="1"/>
  <c r="K58" i="3"/>
  <c r="K60" i="3"/>
  <c r="K62" i="3"/>
  <c r="K64" i="3"/>
  <c r="N20" i="3" s="1"/>
  <c r="K66" i="3"/>
  <c r="N22" i="3" s="1"/>
  <c r="K47" i="3"/>
  <c r="K49" i="3"/>
  <c r="K51" i="3"/>
  <c r="K53" i="3"/>
  <c r="K55" i="3"/>
  <c r="K57" i="3"/>
  <c r="K59" i="3"/>
  <c r="K61" i="3"/>
  <c r="N17" i="3" s="1"/>
  <c r="K63" i="3"/>
  <c r="K65" i="3"/>
  <c r="M22" i="5" l="1"/>
  <c r="N24" i="5" s="1"/>
  <c r="M12" i="5"/>
  <c r="M21" i="5"/>
  <c r="N3" i="3"/>
  <c r="M9" i="3"/>
  <c r="O23" i="3"/>
  <c r="M18" i="3"/>
  <c r="M10" i="3"/>
  <c r="M2" i="3"/>
  <c r="N2" i="3" s="1"/>
  <c r="M15" i="3"/>
  <c r="N15" i="3" s="1"/>
  <c r="M7" i="3"/>
  <c r="N16" i="3"/>
  <c r="N9" i="3"/>
  <c r="N7" i="3"/>
  <c r="N21" i="3"/>
  <c r="N18" i="3"/>
  <c r="N10" i="3"/>
  <c r="M16" i="3"/>
  <c r="M8" i="3"/>
  <c r="M21" i="3"/>
  <c r="M13" i="3"/>
  <c r="N13" i="3" s="1"/>
  <c r="M5" i="3"/>
  <c r="N5" i="3" s="1"/>
  <c r="N7" i="5"/>
  <c r="N11" i="5"/>
  <c r="N15" i="5"/>
  <c r="N19" i="5"/>
  <c r="N3" i="5"/>
  <c r="N6" i="5"/>
  <c r="N18" i="5"/>
  <c r="N22" i="5"/>
  <c r="O24" i="5" s="1"/>
  <c r="N4" i="5"/>
  <c r="N8" i="5"/>
  <c r="N12" i="5"/>
  <c r="N16" i="5"/>
  <c r="N20" i="5"/>
  <c r="N10" i="5"/>
  <c r="N5" i="5"/>
  <c r="N9" i="5"/>
  <c r="N13" i="5"/>
  <c r="N17" i="5"/>
  <c r="N21" i="5"/>
  <c r="N14" i="5"/>
  <c r="M11" i="5"/>
  <c r="M16" i="5"/>
  <c r="M8" i="5"/>
  <c r="M17" i="5"/>
  <c r="N8" i="3"/>
  <c r="O22" i="3"/>
  <c r="M14" i="3"/>
  <c r="N14" i="3" s="1"/>
  <c r="M6" i="3"/>
  <c r="N6" i="3" s="1"/>
  <c r="M19" i="3"/>
  <c r="N19" i="3" s="1"/>
  <c r="M11" i="3"/>
  <c r="N11" i="3" s="1"/>
  <c r="M3" i="3"/>
  <c r="N24" i="3" l="1"/>
  <c r="N25" i="3" s="1"/>
  <c r="C15" i="6"/>
  <c r="G16" i="6"/>
  <c r="F16" i="6"/>
  <c r="C16" i="6"/>
  <c r="F18" i="6"/>
  <c r="G18" i="6"/>
  <c r="F17" i="6"/>
  <c r="G17" i="6"/>
  <c r="F15" i="6"/>
  <c r="G15" i="6"/>
  <c r="C17" i="6"/>
  <c r="C18" i="6"/>
</calcChain>
</file>

<file path=xl/sharedStrings.xml><?xml version="1.0" encoding="utf-8"?>
<sst xmlns="http://schemas.openxmlformats.org/spreadsheetml/2006/main" count="117" uniqueCount="67">
  <si>
    <t>U-Value</t>
  </si>
  <si>
    <t>Frame type</t>
  </si>
  <si>
    <t>Price</t>
  </si>
  <si>
    <t>Brand</t>
  </si>
  <si>
    <t>Annual heat</t>
  </si>
  <si>
    <t>Annual cooling</t>
  </si>
  <si>
    <t>non-metal, thermal</t>
  </si>
  <si>
    <t>SHGC</t>
  </si>
  <si>
    <t>metal w/ thermal</t>
  </si>
  <si>
    <t>non-metal</t>
  </si>
  <si>
    <t xml:space="preserve">metal </t>
  </si>
  <si>
    <t>metal</t>
  </si>
  <si>
    <t>Total energy cost</t>
  </si>
  <si>
    <t>ThermaStar</t>
  </si>
  <si>
    <t>vinyl</t>
  </si>
  <si>
    <t>Total Cost</t>
  </si>
  <si>
    <t>aluminum</t>
  </si>
  <si>
    <t>Betterbilt</t>
  </si>
  <si>
    <t>Ply Gem</t>
  </si>
  <si>
    <t>area</t>
  </si>
  <si>
    <t>surface area</t>
  </si>
  <si>
    <t>floor area</t>
  </si>
  <si>
    <t>SA ratio</t>
  </si>
  <si>
    <t>gas:</t>
  </si>
  <si>
    <t>electric:</t>
  </si>
  <si>
    <t>$/kWh</t>
  </si>
  <si>
    <t>Btu/kWh</t>
  </si>
  <si>
    <t>Btu/cf</t>
  </si>
  <si>
    <t>$/cf</t>
  </si>
  <si>
    <t>$/cf per hr</t>
  </si>
  <si>
    <t>Showcase</t>
  </si>
  <si>
    <t>JELD-WEN</t>
  </si>
  <si>
    <t>triple</t>
  </si>
  <si>
    <t>double</t>
  </si>
  <si>
    <t>single</t>
  </si>
  <si>
    <t>Dorwin</t>
  </si>
  <si>
    <t>Glazing</t>
  </si>
  <si>
    <t>cost/year</t>
  </si>
  <si>
    <t>Triple</t>
  </si>
  <si>
    <t>Double</t>
  </si>
  <si>
    <t>Single</t>
  </si>
  <si>
    <t>window area = 15%</t>
  </si>
  <si>
    <t>electric/gas</t>
  </si>
  <si>
    <t>equal</t>
  </si>
  <si>
    <t>north</t>
  </si>
  <si>
    <t>east</t>
  </si>
  <si>
    <t>west</t>
  </si>
  <si>
    <t>south</t>
  </si>
  <si>
    <t>0.41-0.55</t>
  </si>
  <si>
    <t>0.41-0.60</t>
  </si>
  <si>
    <t>0.31-0.40</t>
  </si>
  <si>
    <t xml:space="preserve"> ≤0.25</t>
  </si>
  <si>
    <t xml:space="preserve">≤0.20 </t>
  </si>
  <si>
    <t>≤0.25</t>
  </si>
  <si>
    <t>%</t>
  </si>
  <si>
    <t>metal, thermal</t>
  </si>
  <si>
    <t>window</t>
  </si>
  <si>
    <t>Years</t>
  </si>
  <si>
    <t>Non-metal, Therm</t>
  </si>
  <si>
    <t>Non-metal</t>
  </si>
  <si>
    <t>Metal, Therm</t>
  </si>
  <si>
    <t>Metal</t>
  </si>
  <si>
    <t>Equal</t>
  </si>
  <si>
    <t>North</t>
  </si>
  <si>
    <t>East</t>
  </si>
  <si>
    <t>South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</si>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</sst>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Solar Heat Gain Coefficient Comparison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SHGC = 0.41</c:v>
          </c:tx>
          <c:xVal>
            <c:numRef>
              <c:f>(Sheet1!$A$3,Sheet1!$A$5,Sheet1!$A$7,Sheet1!$A$10,Sheet1!$A$11)</c:f>
              <c:numCache>
                <c:formatCode>General</c:formatCode>
                <c:ptCount val="5"/>
                <c:pt idx="0">
                  <c:v>0.26</c:v>
                </c:pt>
                <c:pt idx="1">
                  <c:v>0.31</c:v>
                </c:pt>
                <c:pt idx="2">
                  <c:v>0.41</c:v>
                </c:pt>
                <c:pt idx="3">
                  <c:v>0.56000000000000005</c:v>
                </c:pt>
                <c:pt idx="4">
                  <c:v>0.71</c:v>
                </c:pt>
              </c:numCache>
            </c:numRef>
          </c:xVal>
          <c:yVal>
            <c:numRef>
              <c:f>(Sheet1!$I$3,Sheet1!$I$5,Sheet1!$I$7,Sheet1!$I$10,Sheet1!$I$11)</c:f>
              <c:numCache>
                <c:formatCode>General</c:formatCode>
                <c:ptCount val="5"/>
                <c:pt idx="0">
                  <c:v>478.81516648417158</c:v>
                </c:pt>
                <c:pt idx="1">
                  <c:v>503.23377113533434</c:v>
                </c:pt>
                <c:pt idx="2">
                  <c:v>547.20480245087583</c:v>
                </c:pt>
                <c:pt idx="3">
                  <c:v>649.83311375955316</c:v>
                </c:pt>
                <c:pt idx="4">
                  <c:v>732.90899840385191</c:v>
                </c:pt>
              </c:numCache>
            </c:numRef>
          </c:yVal>
          <c:smooth val="1"/>
        </c:ser>
        <c:ser>
          <c:idx val="1"/>
          <c:order val="1"/>
          <c:tx>
            <c:v>SHGC = 0.25</c:v>
          </c:tx>
          <c:xVal>
            <c:numRef>
              <c:f>(Sheet1!$A$2,Sheet1!$A$4,Sheet1!$A$6,Sheet1!$A$8)</c:f>
              <c:numCache>
                <c:formatCode>General</c:formatCode>
                <c:ptCount val="4"/>
                <c:pt idx="0">
                  <c:v>0.26</c:v>
                </c:pt>
                <c:pt idx="1">
                  <c:v>0.31</c:v>
                </c:pt>
                <c:pt idx="2">
                  <c:v>0.41</c:v>
                </c:pt>
                <c:pt idx="3">
                  <c:v>0.56000000000000005</c:v>
                </c:pt>
              </c:numCache>
            </c:numRef>
          </c:xVal>
          <c:yVal>
            <c:numRef>
              <c:f>(Sheet1!$I$2,Sheet1!$I$4,Sheet1!$I$6,Sheet1!$I$8)</c:f>
              <c:numCache>
                <c:formatCode>General</c:formatCode>
                <c:ptCount val="4"/>
                <c:pt idx="0">
                  <c:v>517.9200198129289</c:v>
                </c:pt>
                <c:pt idx="1">
                  <c:v>561.89105112847028</c:v>
                </c:pt>
                <c:pt idx="2">
                  <c:v>613.205206782809</c:v>
                </c:pt>
                <c:pt idx="3">
                  <c:v>657.1762380983505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75872"/>
        <c:axId val="138982144"/>
      </c:scatterChart>
      <c:valAx>
        <c:axId val="138975872"/>
        <c:scaling>
          <c:orientation val="minMax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U-Value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8982144"/>
        <c:crosses val="autoZero"/>
        <c:crossBetween val="midCat"/>
      </c:valAx>
      <c:valAx>
        <c:axId val="138982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Energy cost ($)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8975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770897832817376"/>
          <c:y val="0.69371332314803935"/>
          <c:w val="0.16449948400412803"/>
          <c:h val="0.11995299095075801"/>
        </c:manualLayout>
      </c:layout>
      <c:overlay val="1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 for 3'x5' Windows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Sheet3!$E$2</c:f>
              <c:strCache>
                <c:ptCount val="1"/>
                <c:pt idx="0">
                  <c:v>ThermaStar</c:v>
                </c:pt>
              </c:strCache>
            </c:strRef>
          </c:tx>
          <c:marker>
            <c:symbol val="none"/>
          </c:marker>
          <c:cat>
            <c:numRef>
              <c:f>Sheet3!$A$3:$A$22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Sheet3!$K$2:$K$22</c:f>
              <c:numCache>
                <c:formatCode>General</c:formatCode>
                <c:ptCount val="21"/>
                <c:pt idx="0">
                  <c:v>994</c:v>
                </c:pt>
                <c:pt idx="1">
                  <c:v>1547</c:v>
                </c:pt>
                <c:pt idx="2">
                  <c:v>2100</c:v>
                </c:pt>
                <c:pt idx="3">
                  <c:v>2653</c:v>
                </c:pt>
                <c:pt idx="4">
                  <c:v>3206</c:v>
                </c:pt>
                <c:pt idx="5">
                  <c:v>3759</c:v>
                </c:pt>
                <c:pt idx="6">
                  <c:v>4312</c:v>
                </c:pt>
                <c:pt idx="7">
                  <c:v>4865</c:v>
                </c:pt>
                <c:pt idx="8">
                  <c:v>5418</c:v>
                </c:pt>
                <c:pt idx="9">
                  <c:v>5971</c:v>
                </c:pt>
                <c:pt idx="10">
                  <c:v>6524</c:v>
                </c:pt>
                <c:pt idx="11">
                  <c:v>7077</c:v>
                </c:pt>
                <c:pt idx="12">
                  <c:v>7630</c:v>
                </c:pt>
                <c:pt idx="13">
                  <c:v>8183</c:v>
                </c:pt>
                <c:pt idx="14">
                  <c:v>8736</c:v>
                </c:pt>
                <c:pt idx="15">
                  <c:v>9289</c:v>
                </c:pt>
                <c:pt idx="16">
                  <c:v>9842</c:v>
                </c:pt>
                <c:pt idx="17">
                  <c:v>10395</c:v>
                </c:pt>
                <c:pt idx="18">
                  <c:v>10948</c:v>
                </c:pt>
                <c:pt idx="19">
                  <c:v>11501</c:v>
                </c:pt>
                <c:pt idx="20">
                  <c:v>12054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Sheet3!$E$46</c:f>
              <c:strCache>
                <c:ptCount val="1"/>
                <c:pt idx="0">
                  <c:v>Betterbilt</c:v>
                </c:pt>
              </c:strCache>
            </c:strRef>
          </c:tx>
          <c:marker>
            <c:symbol val="none"/>
          </c:marker>
          <c:cat>
            <c:multiLvlStrRef>
              <c:f>Sheet3!#REF!</c:f>
            </c:multiLvlStrRef>
          </c:cat>
          <c:val>
            <c:numRef>
              <c:f>Sheet3!$K$46:$K$66</c:f>
              <c:numCache>
                <c:formatCode>General</c:formatCode>
                <c:ptCount val="21"/>
                <c:pt idx="0">
                  <c:v>637</c:v>
                </c:pt>
                <c:pt idx="1">
                  <c:v>1342</c:v>
                </c:pt>
                <c:pt idx="2">
                  <c:v>2047</c:v>
                </c:pt>
                <c:pt idx="3">
                  <c:v>2752</c:v>
                </c:pt>
                <c:pt idx="4">
                  <c:v>3457</c:v>
                </c:pt>
                <c:pt idx="5">
                  <c:v>4162</c:v>
                </c:pt>
                <c:pt idx="6">
                  <c:v>4867</c:v>
                </c:pt>
                <c:pt idx="7">
                  <c:v>5572</c:v>
                </c:pt>
                <c:pt idx="8">
                  <c:v>6277</c:v>
                </c:pt>
                <c:pt idx="9">
                  <c:v>6982</c:v>
                </c:pt>
                <c:pt idx="10">
                  <c:v>7687</c:v>
                </c:pt>
                <c:pt idx="11">
                  <c:v>8392</c:v>
                </c:pt>
                <c:pt idx="12">
                  <c:v>9097</c:v>
                </c:pt>
                <c:pt idx="13">
                  <c:v>9802</c:v>
                </c:pt>
                <c:pt idx="14">
                  <c:v>10507</c:v>
                </c:pt>
                <c:pt idx="15">
                  <c:v>11212</c:v>
                </c:pt>
                <c:pt idx="16">
                  <c:v>11917</c:v>
                </c:pt>
                <c:pt idx="17">
                  <c:v>12622</c:v>
                </c:pt>
                <c:pt idx="18">
                  <c:v>13327</c:v>
                </c:pt>
                <c:pt idx="19">
                  <c:v>14032</c:v>
                </c:pt>
                <c:pt idx="20">
                  <c:v>14737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Sheet3!$E$68</c:f>
              <c:strCache>
                <c:ptCount val="1"/>
                <c:pt idx="0">
                  <c:v>Showcase</c:v>
                </c:pt>
              </c:strCache>
            </c:strRef>
          </c:tx>
          <c:marker>
            <c:symbol val="none"/>
          </c:marker>
          <c:val>
            <c:numRef>
              <c:f>Sheet3!$K$68:$K$88</c:f>
              <c:numCache>
                <c:formatCode>General</c:formatCode>
                <c:ptCount val="21"/>
                <c:pt idx="0">
                  <c:v>630</c:v>
                </c:pt>
                <c:pt idx="1">
                  <c:v>1190</c:v>
                </c:pt>
                <c:pt idx="2">
                  <c:v>1750</c:v>
                </c:pt>
                <c:pt idx="3">
                  <c:v>2310</c:v>
                </c:pt>
                <c:pt idx="4">
                  <c:v>2870</c:v>
                </c:pt>
                <c:pt idx="5">
                  <c:v>3430</c:v>
                </c:pt>
                <c:pt idx="6">
                  <c:v>3990</c:v>
                </c:pt>
                <c:pt idx="7">
                  <c:v>4550</c:v>
                </c:pt>
                <c:pt idx="8">
                  <c:v>5110</c:v>
                </c:pt>
                <c:pt idx="9">
                  <c:v>5670</c:v>
                </c:pt>
                <c:pt idx="10">
                  <c:v>6230</c:v>
                </c:pt>
                <c:pt idx="11">
                  <c:v>6790</c:v>
                </c:pt>
                <c:pt idx="12">
                  <c:v>7350</c:v>
                </c:pt>
                <c:pt idx="13">
                  <c:v>7910</c:v>
                </c:pt>
                <c:pt idx="14">
                  <c:v>8470</c:v>
                </c:pt>
                <c:pt idx="15">
                  <c:v>9030</c:v>
                </c:pt>
                <c:pt idx="16">
                  <c:v>9590</c:v>
                </c:pt>
                <c:pt idx="17">
                  <c:v>10150</c:v>
                </c:pt>
                <c:pt idx="18">
                  <c:v>10710</c:v>
                </c:pt>
                <c:pt idx="19">
                  <c:v>11270</c:v>
                </c:pt>
                <c:pt idx="20">
                  <c:v>11830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Sheet3!$E$24</c:f>
              <c:strCache>
                <c:ptCount val="1"/>
                <c:pt idx="0">
                  <c:v>Ply Gem</c:v>
                </c:pt>
              </c:strCache>
            </c:strRef>
          </c:tx>
          <c:marker>
            <c:symbol val="none"/>
          </c:marker>
          <c:val>
            <c:numRef>
              <c:f>Sheet3!$K$24:$K$44</c:f>
              <c:numCache>
                <c:formatCode>General</c:formatCode>
                <c:ptCount val="21"/>
                <c:pt idx="0">
                  <c:v>938</c:v>
                </c:pt>
                <c:pt idx="1">
                  <c:v>1500</c:v>
                </c:pt>
                <c:pt idx="2">
                  <c:v>2062</c:v>
                </c:pt>
                <c:pt idx="3">
                  <c:v>2624</c:v>
                </c:pt>
                <c:pt idx="4">
                  <c:v>3186</c:v>
                </c:pt>
                <c:pt idx="5">
                  <c:v>3748</c:v>
                </c:pt>
                <c:pt idx="6">
                  <c:v>4310</c:v>
                </c:pt>
                <c:pt idx="7">
                  <c:v>4872</c:v>
                </c:pt>
                <c:pt idx="8">
                  <c:v>5434</c:v>
                </c:pt>
                <c:pt idx="9">
                  <c:v>5996</c:v>
                </c:pt>
                <c:pt idx="10">
                  <c:v>6558</c:v>
                </c:pt>
                <c:pt idx="11">
                  <c:v>7120</c:v>
                </c:pt>
                <c:pt idx="12">
                  <c:v>7682</c:v>
                </c:pt>
                <c:pt idx="13">
                  <c:v>8244</c:v>
                </c:pt>
                <c:pt idx="14">
                  <c:v>8806</c:v>
                </c:pt>
                <c:pt idx="15">
                  <c:v>9368</c:v>
                </c:pt>
                <c:pt idx="16">
                  <c:v>9930</c:v>
                </c:pt>
                <c:pt idx="17">
                  <c:v>10492</c:v>
                </c:pt>
                <c:pt idx="18">
                  <c:v>11054</c:v>
                </c:pt>
                <c:pt idx="19">
                  <c:v>11616</c:v>
                </c:pt>
                <c:pt idx="20">
                  <c:v>12178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Sheet3!$E$90</c:f>
              <c:strCache>
                <c:ptCount val="1"/>
                <c:pt idx="0">
                  <c:v>JELD-WEN</c:v>
                </c:pt>
              </c:strCache>
            </c:strRef>
          </c:tx>
          <c:marker>
            <c:symbol val="none"/>
          </c:marker>
          <c:val>
            <c:numRef>
              <c:f>Sheet3!$K$90:$K$110</c:f>
              <c:numCache>
                <c:formatCode>General</c:formatCode>
                <c:ptCount val="21"/>
                <c:pt idx="0">
                  <c:v>1589</c:v>
                </c:pt>
                <c:pt idx="1">
                  <c:v>2106</c:v>
                </c:pt>
                <c:pt idx="2">
                  <c:v>2623</c:v>
                </c:pt>
                <c:pt idx="3">
                  <c:v>3140</c:v>
                </c:pt>
                <c:pt idx="4">
                  <c:v>3657</c:v>
                </c:pt>
                <c:pt idx="5">
                  <c:v>4174</c:v>
                </c:pt>
                <c:pt idx="6">
                  <c:v>4691</c:v>
                </c:pt>
                <c:pt idx="7">
                  <c:v>5208</c:v>
                </c:pt>
                <c:pt idx="8">
                  <c:v>5725</c:v>
                </c:pt>
                <c:pt idx="9">
                  <c:v>6242</c:v>
                </c:pt>
                <c:pt idx="10">
                  <c:v>6759</c:v>
                </c:pt>
                <c:pt idx="11">
                  <c:v>7276</c:v>
                </c:pt>
                <c:pt idx="12">
                  <c:v>7793</c:v>
                </c:pt>
                <c:pt idx="13">
                  <c:v>8310</c:v>
                </c:pt>
                <c:pt idx="14">
                  <c:v>8827</c:v>
                </c:pt>
                <c:pt idx="15">
                  <c:v>9344</c:v>
                </c:pt>
                <c:pt idx="16">
                  <c:v>9861</c:v>
                </c:pt>
                <c:pt idx="17">
                  <c:v>10378</c:v>
                </c:pt>
                <c:pt idx="18">
                  <c:v>10895</c:v>
                </c:pt>
                <c:pt idx="19">
                  <c:v>11412</c:v>
                </c:pt>
                <c:pt idx="20">
                  <c:v>11929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855168"/>
        <c:axId val="138857088"/>
      </c:lineChart>
      <c:catAx>
        <c:axId val="13885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in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857088"/>
        <c:crosses val="autoZero"/>
        <c:auto val="1"/>
        <c:lblAlgn val="ctr"/>
        <c:lblOffset val="100"/>
        <c:noMultiLvlLbl val="0"/>
      </c:catAx>
      <c:valAx>
        <c:axId val="138857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Cost</a:t>
                </a:r>
              </a:p>
            </c:rich>
          </c:tx>
          <c:layout>
            <c:manualLayout>
              <c:xMode val="edge"/>
              <c:yMode val="edge"/>
              <c:x val="1.6666666666666687E-2"/>
              <c:y val="0.329103966170895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8855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Total Costs - Initial Purchase and Energy Loss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Sheet3!$E$2</c:f>
              <c:strCache>
                <c:ptCount val="1"/>
                <c:pt idx="0">
                  <c:v>ThermaStar</c:v>
                </c:pt>
              </c:strCache>
            </c:strRef>
          </c:tx>
          <c:marker>
            <c:symbol val="none"/>
          </c:marker>
          <c:cat>
            <c:numRef>
              <c:f>Sheet3!$A$3:$A$22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Sheet3!$K$2:$K$22</c:f>
              <c:numCache>
                <c:formatCode>General</c:formatCode>
                <c:ptCount val="21"/>
                <c:pt idx="0">
                  <c:v>994</c:v>
                </c:pt>
                <c:pt idx="1">
                  <c:v>1547</c:v>
                </c:pt>
                <c:pt idx="2">
                  <c:v>2100</c:v>
                </c:pt>
                <c:pt idx="3">
                  <c:v>2653</c:v>
                </c:pt>
                <c:pt idx="4">
                  <c:v>3206</c:v>
                </c:pt>
                <c:pt idx="5">
                  <c:v>3759</c:v>
                </c:pt>
                <c:pt idx="6">
                  <c:v>4312</c:v>
                </c:pt>
                <c:pt idx="7">
                  <c:v>4865</c:v>
                </c:pt>
                <c:pt idx="8">
                  <c:v>5418</c:v>
                </c:pt>
                <c:pt idx="9">
                  <c:v>5971</c:v>
                </c:pt>
                <c:pt idx="10">
                  <c:v>6524</c:v>
                </c:pt>
                <c:pt idx="11">
                  <c:v>7077</c:v>
                </c:pt>
                <c:pt idx="12">
                  <c:v>7630</c:v>
                </c:pt>
                <c:pt idx="13">
                  <c:v>8183</c:v>
                </c:pt>
                <c:pt idx="14">
                  <c:v>8736</c:v>
                </c:pt>
                <c:pt idx="15">
                  <c:v>9289</c:v>
                </c:pt>
                <c:pt idx="16">
                  <c:v>9842</c:v>
                </c:pt>
                <c:pt idx="17">
                  <c:v>10395</c:v>
                </c:pt>
                <c:pt idx="18">
                  <c:v>10948</c:v>
                </c:pt>
                <c:pt idx="19">
                  <c:v>11501</c:v>
                </c:pt>
                <c:pt idx="20">
                  <c:v>12054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Sheet3!$E$68</c:f>
              <c:strCache>
                <c:ptCount val="1"/>
                <c:pt idx="0">
                  <c:v>Showcase</c:v>
                </c:pt>
              </c:strCache>
            </c:strRef>
          </c:tx>
          <c:marker>
            <c:symbol val="none"/>
          </c:marker>
          <c:val>
            <c:numRef>
              <c:f>Sheet3!$K$68:$K$88</c:f>
              <c:numCache>
                <c:formatCode>General</c:formatCode>
                <c:ptCount val="21"/>
                <c:pt idx="0">
                  <c:v>630</c:v>
                </c:pt>
                <c:pt idx="1">
                  <c:v>1190</c:v>
                </c:pt>
                <c:pt idx="2">
                  <c:v>1750</c:v>
                </c:pt>
                <c:pt idx="3">
                  <c:v>2310</c:v>
                </c:pt>
                <c:pt idx="4">
                  <c:v>2870</c:v>
                </c:pt>
                <c:pt idx="5">
                  <c:v>3430</c:v>
                </c:pt>
                <c:pt idx="6">
                  <c:v>3990</c:v>
                </c:pt>
                <c:pt idx="7">
                  <c:v>4550</c:v>
                </c:pt>
                <c:pt idx="8">
                  <c:v>5110</c:v>
                </c:pt>
                <c:pt idx="9">
                  <c:v>5670</c:v>
                </c:pt>
                <c:pt idx="10">
                  <c:v>6230</c:v>
                </c:pt>
                <c:pt idx="11">
                  <c:v>6790</c:v>
                </c:pt>
                <c:pt idx="12">
                  <c:v>7350</c:v>
                </c:pt>
                <c:pt idx="13">
                  <c:v>7910</c:v>
                </c:pt>
                <c:pt idx="14">
                  <c:v>8470</c:v>
                </c:pt>
                <c:pt idx="15">
                  <c:v>9030</c:v>
                </c:pt>
                <c:pt idx="16">
                  <c:v>9590</c:v>
                </c:pt>
                <c:pt idx="17">
                  <c:v>10150</c:v>
                </c:pt>
                <c:pt idx="18">
                  <c:v>10710</c:v>
                </c:pt>
                <c:pt idx="19">
                  <c:v>11270</c:v>
                </c:pt>
                <c:pt idx="20">
                  <c:v>11830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Sheet3!$E$24</c:f>
              <c:strCache>
                <c:ptCount val="1"/>
                <c:pt idx="0">
                  <c:v>Ply Gem</c:v>
                </c:pt>
              </c:strCache>
            </c:strRef>
          </c:tx>
          <c:marker>
            <c:symbol val="none"/>
          </c:marker>
          <c:val>
            <c:numRef>
              <c:f>Sheet3!$K$24:$K$44</c:f>
              <c:numCache>
                <c:formatCode>General</c:formatCode>
                <c:ptCount val="21"/>
                <c:pt idx="0">
                  <c:v>938</c:v>
                </c:pt>
                <c:pt idx="1">
                  <c:v>1500</c:v>
                </c:pt>
                <c:pt idx="2">
                  <c:v>2062</c:v>
                </c:pt>
                <c:pt idx="3">
                  <c:v>2624</c:v>
                </c:pt>
                <c:pt idx="4">
                  <c:v>3186</c:v>
                </c:pt>
                <c:pt idx="5">
                  <c:v>3748</c:v>
                </c:pt>
                <c:pt idx="6">
                  <c:v>4310</c:v>
                </c:pt>
                <c:pt idx="7">
                  <c:v>4872</c:v>
                </c:pt>
                <c:pt idx="8">
                  <c:v>5434</c:v>
                </c:pt>
                <c:pt idx="9">
                  <c:v>5996</c:v>
                </c:pt>
                <c:pt idx="10">
                  <c:v>6558</c:v>
                </c:pt>
                <c:pt idx="11">
                  <c:v>7120</c:v>
                </c:pt>
                <c:pt idx="12">
                  <c:v>7682</c:v>
                </c:pt>
                <c:pt idx="13">
                  <c:v>8244</c:v>
                </c:pt>
                <c:pt idx="14">
                  <c:v>8806</c:v>
                </c:pt>
                <c:pt idx="15">
                  <c:v>9368</c:v>
                </c:pt>
                <c:pt idx="16">
                  <c:v>9930</c:v>
                </c:pt>
                <c:pt idx="17">
                  <c:v>10492</c:v>
                </c:pt>
                <c:pt idx="18">
                  <c:v>11054</c:v>
                </c:pt>
                <c:pt idx="19">
                  <c:v>11616</c:v>
                </c:pt>
                <c:pt idx="20">
                  <c:v>12178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Sheet3!$E$90</c:f>
              <c:strCache>
                <c:ptCount val="1"/>
                <c:pt idx="0">
                  <c:v>JELD-WEN</c:v>
                </c:pt>
              </c:strCache>
            </c:strRef>
          </c:tx>
          <c:marker>
            <c:symbol val="none"/>
          </c:marker>
          <c:val>
            <c:numRef>
              <c:f>Sheet3!$K$90:$K$110</c:f>
              <c:numCache>
                <c:formatCode>General</c:formatCode>
                <c:ptCount val="21"/>
                <c:pt idx="0">
                  <c:v>1589</c:v>
                </c:pt>
                <c:pt idx="1">
                  <c:v>2106</c:v>
                </c:pt>
                <c:pt idx="2">
                  <c:v>2623</c:v>
                </c:pt>
                <c:pt idx="3">
                  <c:v>3140</c:v>
                </c:pt>
                <c:pt idx="4">
                  <c:v>3657</c:v>
                </c:pt>
                <c:pt idx="5">
                  <c:v>4174</c:v>
                </c:pt>
                <c:pt idx="6">
                  <c:v>4691</c:v>
                </c:pt>
                <c:pt idx="7">
                  <c:v>5208</c:v>
                </c:pt>
                <c:pt idx="8">
                  <c:v>5725</c:v>
                </c:pt>
                <c:pt idx="9">
                  <c:v>6242</c:v>
                </c:pt>
                <c:pt idx="10">
                  <c:v>6759</c:v>
                </c:pt>
                <c:pt idx="11">
                  <c:v>7276</c:v>
                </c:pt>
                <c:pt idx="12">
                  <c:v>7793</c:v>
                </c:pt>
                <c:pt idx="13">
                  <c:v>8310</c:v>
                </c:pt>
                <c:pt idx="14">
                  <c:v>8827</c:v>
                </c:pt>
                <c:pt idx="15">
                  <c:v>9344</c:v>
                </c:pt>
                <c:pt idx="16">
                  <c:v>9861</c:v>
                </c:pt>
                <c:pt idx="17">
                  <c:v>10378</c:v>
                </c:pt>
                <c:pt idx="18">
                  <c:v>10895</c:v>
                </c:pt>
                <c:pt idx="19">
                  <c:v>11412</c:v>
                </c:pt>
                <c:pt idx="20">
                  <c:v>11929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33216"/>
        <c:axId val="139047680"/>
      </c:lineChart>
      <c:catAx>
        <c:axId val="13903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in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047680"/>
        <c:crosses val="autoZero"/>
        <c:auto val="1"/>
        <c:lblAlgn val="ctr"/>
        <c:lblOffset val="100"/>
        <c:noMultiLvlLbl val="0"/>
      </c:catAx>
      <c:valAx>
        <c:axId val="139047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Costs for 7 Windows</a:t>
                </a:r>
              </a:p>
            </c:rich>
          </c:tx>
          <c:layout>
            <c:manualLayout>
              <c:xMode val="edge"/>
              <c:yMode val="edge"/>
              <c:x val="1.6666666666666687E-2"/>
              <c:y val="0.329103966170895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9033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Glazing - Number of Coatings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Glazing!$M$2</c:f>
              <c:strCache>
                <c:ptCount val="1"/>
                <c:pt idx="0">
                  <c:v>Single</c:v>
                </c:pt>
              </c:strCache>
            </c:strRef>
          </c:tx>
          <c:marker>
            <c:symbol val="none"/>
          </c:marker>
          <c:val>
            <c:numRef>
              <c:f>Glazing!$M$3:$M$22</c:f>
              <c:numCache>
                <c:formatCode>General</c:formatCode>
                <c:ptCount val="20"/>
                <c:pt idx="0">
                  <c:v>706.013447400676</c:v>
                </c:pt>
                <c:pt idx="1">
                  <c:v>1412.026894801352</c:v>
                </c:pt>
                <c:pt idx="2">
                  <c:v>2118.0403422020281</c:v>
                </c:pt>
                <c:pt idx="3">
                  <c:v>2824.053789602704</c:v>
                </c:pt>
                <c:pt idx="4">
                  <c:v>3530.0672370033799</c:v>
                </c:pt>
                <c:pt idx="5">
                  <c:v>4236.0806844040562</c:v>
                </c:pt>
                <c:pt idx="6">
                  <c:v>4942.0941318047317</c:v>
                </c:pt>
                <c:pt idx="7">
                  <c:v>5648.107579205408</c:v>
                </c:pt>
                <c:pt idx="8">
                  <c:v>6354.1210266060843</c:v>
                </c:pt>
                <c:pt idx="9">
                  <c:v>7060.1344740067598</c:v>
                </c:pt>
                <c:pt idx="10">
                  <c:v>7766.1479214074361</c:v>
                </c:pt>
                <c:pt idx="11">
                  <c:v>8472.1613688081125</c:v>
                </c:pt>
                <c:pt idx="12">
                  <c:v>9178.1748162087879</c:v>
                </c:pt>
                <c:pt idx="13">
                  <c:v>9884.1882636094633</c:v>
                </c:pt>
                <c:pt idx="14">
                  <c:v>10590.201711010141</c:v>
                </c:pt>
                <c:pt idx="15">
                  <c:v>11296.215158410816</c:v>
                </c:pt>
                <c:pt idx="16">
                  <c:v>12002.228605811491</c:v>
                </c:pt>
                <c:pt idx="17">
                  <c:v>12708.242053212169</c:v>
                </c:pt>
                <c:pt idx="18">
                  <c:v>13414.255500612844</c:v>
                </c:pt>
                <c:pt idx="19">
                  <c:v>14120.26894801352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Glazing!$N$2</c:f>
              <c:strCache>
                <c:ptCount val="1"/>
                <c:pt idx="0">
                  <c:v>Double</c:v>
                </c:pt>
              </c:strCache>
            </c:strRef>
          </c:tx>
          <c:marker>
            <c:symbol val="none"/>
          </c:marker>
          <c:val>
            <c:numRef>
              <c:f>Glazing!$N$3:$N$22</c:f>
              <c:numCache>
                <c:formatCode>General</c:formatCode>
                <c:ptCount val="20"/>
                <c:pt idx="0">
                  <c:v>517.9200198129289</c:v>
                </c:pt>
                <c:pt idx="1">
                  <c:v>1035.8400396258578</c:v>
                </c:pt>
                <c:pt idx="2">
                  <c:v>1553.7600594387868</c:v>
                </c:pt>
                <c:pt idx="3">
                  <c:v>2071.6800792517156</c:v>
                </c:pt>
                <c:pt idx="4">
                  <c:v>2589.6000990646444</c:v>
                </c:pt>
                <c:pt idx="5">
                  <c:v>3107.5201188775736</c:v>
                </c:pt>
                <c:pt idx="6">
                  <c:v>3625.4401386905024</c:v>
                </c:pt>
                <c:pt idx="7">
                  <c:v>4143.3601585034312</c:v>
                </c:pt>
                <c:pt idx="8">
                  <c:v>4661.2801783163604</c:v>
                </c:pt>
                <c:pt idx="9">
                  <c:v>5179.2001981292888</c:v>
                </c:pt>
                <c:pt idx="10">
                  <c:v>5697.120217942218</c:v>
                </c:pt>
                <c:pt idx="11">
                  <c:v>6215.0402377551472</c:v>
                </c:pt>
                <c:pt idx="12">
                  <c:v>6732.9602575680756</c:v>
                </c:pt>
                <c:pt idx="13">
                  <c:v>7250.8802773810048</c:v>
                </c:pt>
                <c:pt idx="14">
                  <c:v>7768.8002971939331</c:v>
                </c:pt>
                <c:pt idx="15">
                  <c:v>8286.7203170068624</c:v>
                </c:pt>
                <c:pt idx="16">
                  <c:v>8804.6403368197916</c:v>
                </c:pt>
                <c:pt idx="17">
                  <c:v>9322.5603566327209</c:v>
                </c:pt>
                <c:pt idx="18">
                  <c:v>9840.4803764456483</c:v>
                </c:pt>
                <c:pt idx="19">
                  <c:v>10358.400396258578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Glazing!$O$2</c:f>
              <c:strCache>
                <c:ptCount val="1"/>
                <c:pt idx="0">
                  <c:v>Triple</c:v>
                </c:pt>
              </c:strCache>
            </c:strRef>
          </c:tx>
          <c:marker>
            <c:symbol val="none"/>
          </c:marker>
          <c:val>
            <c:numRef>
              <c:f>Glazing!$O$3:$O$22</c:f>
              <c:numCache>
                <c:formatCode>General</c:formatCode>
                <c:ptCount val="20"/>
                <c:pt idx="0">
                  <c:v>478.81516648417158</c:v>
                </c:pt>
                <c:pt idx="1">
                  <c:v>957.63033296834317</c:v>
                </c:pt>
                <c:pt idx="2">
                  <c:v>1436.4454994525147</c:v>
                </c:pt>
                <c:pt idx="3">
                  <c:v>1915.2606659366863</c:v>
                </c:pt>
                <c:pt idx="4">
                  <c:v>2394.0758324208578</c:v>
                </c:pt>
                <c:pt idx="5">
                  <c:v>2872.8909989050294</c:v>
                </c:pt>
                <c:pt idx="6">
                  <c:v>3351.706165389201</c:v>
                </c:pt>
                <c:pt idx="7">
                  <c:v>3830.5213318733727</c:v>
                </c:pt>
                <c:pt idx="8">
                  <c:v>4309.3364983575439</c:v>
                </c:pt>
                <c:pt idx="9">
                  <c:v>4788.1516648417155</c:v>
                </c:pt>
                <c:pt idx="10">
                  <c:v>5266.9668313258871</c:v>
                </c:pt>
                <c:pt idx="11">
                  <c:v>5745.7819978100588</c:v>
                </c:pt>
                <c:pt idx="12">
                  <c:v>6224.5971642942304</c:v>
                </c:pt>
                <c:pt idx="13">
                  <c:v>6703.4123307784021</c:v>
                </c:pt>
                <c:pt idx="14">
                  <c:v>7182.2274972625737</c:v>
                </c:pt>
                <c:pt idx="15">
                  <c:v>7661.0426637467453</c:v>
                </c:pt>
                <c:pt idx="16">
                  <c:v>8139.857830230917</c:v>
                </c:pt>
                <c:pt idx="17">
                  <c:v>8618.6729967150877</c:v>
                </c:pt>
                <c:pt idx="18">
                  <c:v>9097.4881631992594</c:v>
                </c:pt>
                <c:pt idx="19">
                  <c:v>9576.303329683431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33312"/>
        <c:axId val="139135232"/>
      </c:lineChart>
      <c:catAx>
        <c:axId val="1391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9135232"/>
        <c:crosses val="autoZero"/>
        <c:auto val="1"/>
        <c:lblAlgn val="ctr"/>
        <c:lblOffset val="100"/>
        <c:noMultiLvlLbl val="0"/>
      </c:catAx>
      <c:valAx>
        <c:axId val="13913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Annual Energy Cost per Window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133312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3193403298350825"/>
          <c:y val="0.23167058162492882"/>
          <c:w val="0.10682038222894669"/>
          <c:h val="0.14913742998620025"/>
        </c:manualLayout>
      </c:layout>
      <c:overlay val="1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of Frame Types for a Single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Framing!$N$1</c:f>
              <c:strCache>
                <c:ptCount val="1"/>
                <c:pt idx="0">
                  <c:v>Non-metal, Therm</c:v>
                </c:pt>
              </c:strCache>
            </c:strRef>
          </c:tx>
          <c:marker>
            <c:symbol val="none"/>
          </c:marker>
          <c:val>
            <c:numRef>
              <c:f>Framing!$N$2:$N$21</c:f>
              <c:numCache>
                <c:formatCode>General</c:formatCode>
                <c:ptCount val="20"/>
                <c:pt idx="0">
                  <c:v>525.74099047868026</c:v>
                </c:pt>
                <c:pt idx="1">
                  <c:v>1051.4819809573605</c:v>
                </c:pt>
                <c:pt idx="2">
                  <c:v>1577.2229714360408</c:v>
                </c:pt>
                <c:pt idx="3">
                  <c:v>2102.963961914721</c:v>
                </c:pt>
                <c:pt idx="4">
                  <c:v>2628.7049523934011</c:v>
                </c:pt>
                <c:pt idx="5">
                  <c:v>3154.4459428720816</c:v>
                </c:pt>
                <c:pt idx="6">
                  <c:v>3680.186933350762</c:v>
                </c:pt>
                <c:pt idx="7">
                  <c:v>4205.9279238294421</c:v>
                </c:pt>
                <c:pt idx="8">
                  <c:v>4731.6689143081221</c:v>
                </c:pt>
                <c:pt idx="9">
                  <c:v>5257.4099047868021</c:v>
                </c:pt>
                <c:pt idx="10">
                  <c:v>5783.1508952654831</c:v>
                </c:pt>
                <c:pt idx="11">
                  <c:v>6308.8918857441631</c:v>
                </c:pt>
                <c:pt idx="12">
                  <c:v>6834.6328762228432</c:v>
                </c:pt>
                <c:pt idx="13">
                  <c:v>7360.3738667015241</c:v>
                </c:pt>
                <c:pt idx="14">
                  <c:v>7886.1148571802041</c:v>
                </c:pt>
                <c:pt idx="15">
                  <c:v>8411.8558476588842</c:v>
                </c:pt>
                <c:pt idx="16">
                  <c:v>8937.5968381375642</c:v>
                </c:pt>
                <c:pt idx="17">
                  <c:v>9463.3378286162442</c:v>
                </c:pt>
                <c:pt idx="18">
                  <c:v>9989.0788190949243</c:v>
                </c:pt>
                <c:pt idx="19">
                  <c:v>10514.819809573604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Framing!$O$1</c:f>
              <c:strCache>
                <c:ptCount val="1"/>
                <c:pt idx="0">
                  <c:v>Non-metal</c:v>
                </c:pt>
              </c:strCache>
            </c:strRef>
          </c:tx>
          <c:marker>
            <c:symbol val="none"/>
          </c:marker>
          <c:val>
            <c:numRef>
              <c:f>Framing!$O$2:$O$21</c:f>
              <c:numCache>
                <c:formatCode>General</c:formatCode>
                <c:ptCount val="20"/>
                <c:pt idx="0">
                  <c:v>546.26665274041579</c:v>
                </c:pt>
                <c:pt idx="1">
                  <c:v>1092.5333054808316</c:v>
                </c:pt>
                <c:pt idx="2">
                  <c:v>1638.7999582212474</c:v>
                </c:pt>
                <c:pt idx="3">
                  <c:v>2185.0666109616632</c:v>
                </c:pt>
                <c:pt idx="4">
                  <c:v>2731.333263702079</c:v>
                </c:pt>
                <c:pt idx="5">
                  <c:v>3277.5999164424948</c:v>
                </c:pt>
                <c:pt idx="6">
                  <c:v>3823.8665691829106</c:v>
                </c:pt>
                <c:pt idx="7">
                  <c:v>4370.1332219233263</c:v>
                </c:pt>
                <c:pt idx="8">
                  <c:v>4916.3998746637426</c:v>
                </c:pt>
                <c:pt idx="9">
                  <c:v>5462.6665274041579</c:v>
                </c:pt>
                <c:pt idx="10">
                  <c:v>6008.9331801445733</c:v>
                </c:pt>
                <c:pt idx="11">
                  <c:v>6555.1998328849895</c:v>
                </c:pt>
                <c:pt idx="12">
                  <c:v>7101.4664856254058</c:v>
                </c:pt>
                <c:pt idx="13">
                  <c:v>7647.7331383658211</c:v>
                </c:pt>
                <c:pt idx="14">
                  <c:v>8193.9997911062364</c:v>
                </c:pt>
                <c:pt idx="15">
                  <c:v>8740.2664438466527</c:v>
                </c:pt>
                <c:pt idx="16">
                  <c:v>9286.5330965870689</c:v>
                </c:pt>
                <c:pt idx="17">
                  <c:v>9832.7997493274852</c:v>
                </c:pt>
                <c:pt idx="18">
                  <c:v>10379.0664020679</c:v>
                </c:pt>
                <c:pt idx="19">
                  <c:v>10925.333054808316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Framing!$P$1</c:f>
              <c:strCache>
                <c:ptCount val="1"/>
                <c:pt idx="0">
                  <c:v>Metal, Therm</c:v>
                </c:pt>
              </c:strCache>
            </c:strRef>
          </c:tx>
          <c:marker>
            <c:symbol val="none"/>
          </c:marker>
          <c:val>
            <c:numRef>
              <c:f>Framing!$P$2:$P$21</c:f>
              <c:numCache>
                <c:formatCode>General</c:formatCode>
                <c:ptCount val="20"/>
                <c:pt idx="0">
                  <c:v>603.91561124929808</c:v>
                </c:pt>
                <c:pt idx="1">
                  <c:v>1207.8312224985962</c:v>
                </c:pt>
                <c:pt idx="2">
                  <c:v>1811.7468337478942</c:v>
                </c:pt>
                <c:pt idx="3">
                  <c:v>2415.6624449971923</c:v>
                </c:pt>
                <c:pt idx="4">
                  <c:v>3019.5780562464906</c:v>
                </c:pt>
                <c:pt idx="5">
                  <c:v>3623.4936674957885</c:v>
                </c:pt>
                <c:pt idx="6">
                  <c:v>4227.4092787450863</c:v>
                </c:pt>
                <c:pt idx="7">
                  <c:v>4831.3248899943846</c:v>
                </c:pt>
                <c:pt idx="8">
                  <c:v>5435.240501243683</c:v>
                </c:pt>
                <c:pt idx="9">
                  <c:v>6039.1561124929813</c:v>
                </c:pt>
                <c:pt idx="10">
                  <c:v>6643.0717237422787</c:v>
                </c:pt>
                <c:pt idx="11">
                  <c:v>7246.987334991577</c:v>
                </c:pt>
                <c:pt idx="12">
                  <c:v>7850.9029462408753</c:v>
                </c:pt>
                <c:pt idx="13">
                  <c:v>8454.8185574901727</c:v>
                </c:pt>
                <c:pt idx="14">
                  <c:v>9058.734168739471</c:v>
                </c:pt>
                <c:pt idx="15">
                  <c:v>9662.6497799887693</c:v>
                </c:pt>
                <c:pt idx="16">
                  <c:v>10266.565391238068</c:v>
                </c:pt>
                <c:pt idx="17">
                  <c:v>10870.481002487366</c:v>
                </c:pt>
                <c:pt idx="18">
                  <c:v>11474.396613736664</c:v>
                </c:pt>
                <c:pt idx="19">
                  <c:v>12078.312224985963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Framing!$Q$1</c:f>
              <c:strCache>
                <c:ptCount val="1"/>
                <c:pt idx="0">
                  <c:v>Metal</c:v>
                </c:pt>
              </c:strCache>
            </c:strRef>
          </c:tx>
          <c:marker>
            <c:symbol val="none"/>
          </c:marker>
          <c:val>
            <c:numRef>
              <c:f>Framing!$Q$2:$Q$21</c:f>
              <c:numCache>
                <c:formatCode>General</c:formatCode>
                <c:ptCount val="20"/>
                <c:pt idx="0">
                  <c:v>642.02968603725003</c:v>
                </c:pt>
                <c:pt idx="1">
                  <c:v>1284.0593720745001</c:v>
                </c:pt>
                <c:pt idx="2">
                  <c:v>1926.0890581117501</c:v>
                </c:pt>
                <c:pt idx="3">
                  <c:v>2568.1187441490001</c:v>
                </c:pt>
                <c:pt idx="4">
                  <c:v>3210.1484301862502</c:v>
                </c:pt>
                <c:pt idx="5">
                  <c:v>3852.1781162235002</c:v>
                </c:pt>
                <c:pt idx="6">
                  <c:v>4494.2078022607502</c:v>
                </c:pt>
                <c:pt idx="7">
                  <c:v>5136.2374882980002</c:v>
                </c:pt>
                <c:pt idx="8">
                  <c:v>5778.2671743352503</c:v>
                </c:pt>
                <c:pt idx="9">
                  <c:v>6420.2968603725003</c:v>
                </c:pt>
                <c:pt idx="10">
                  <c:v>7062.3265464097503</c:v>
                </c:pt>
                <c:pt idx="11">
                  <c:v>7704.3562324470004</c:v>
                </c:pt>
                <c:pt idx="12">
                  <c:v>8346.3859184842513</c:v>
                </c:pt>
                <c:pt idx="13">
                  <c:v>8988.4156045215004</c:v>
                </c:pt>
                <c:pt idx="14">
                  <c:v>9630.4452905587495</c:v>
                </c:pt>
                <c:pt idx="15">
                  <c:v>10272.474976596</c:v>
                </c:pt>
                <c:pt idx="16">
                  <c:v>10914.504662633251</c:v>
                </c:pt>
                <c:pt idx="17">
                  <c:v>11556.534348670501</c:v>
                </c:pt>
                <c:pt idx="18">
                  <c:v>12198.56403470775</c:v>
                </c:pt>
                <c:pt idx="19">
                  <c:v>12840.593720745001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93344"/>
        <c:axId val="140330112"/>
      </c:lineChart>
      <c:catAx>
        <c:axId val="13919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overlay val="0"/>
        </c:title>
        <c:majorTickMark val="out"/>
        <c:minorTickMark val="none"/>
        <c:tickLblPos val="nextTo"/>
        <c:crossAx val="140330112"/>
        <c:crosses val="autoZero"/>
        <c:auto val="1"/>
        <c:lblAlgn val="ctr"/>
        <c:lblOffset val="100"/>
        <c:noMultiLvlLbl val="0"/>
      </c:catAx>
      <c:valAx>
        <c:axId val="140330112"/>
        <c:scaling>
          <c:orientation val="minMax"/>
          <c:max val="13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Cost ($)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193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476250</xdr:colOff>
      <xdr:row>1</xdr:row>
      <xdr:rowOff>76200</xdr:rowOff>
    </xdr:from>
    <xdr:to>
      <xdr:col>18</xdr:col>
      <xdr:colOff>390198</xdr:colOff>
      <xdr:row>28</xdr:row>
      <xdr:rowOff>10792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91450" y="266700"/>
          <a:ext cx="3571548" cy="50780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13</xdr:row>
      <xdr:rowOff>0</xdr:rowOff>
    </xdr:from>
    <xdr:to>
      <xdr:col>9</xdr:col>
      <xdr:colOff>276225</xdr:colOff>
      <xdr:row>33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361949</xdr:colOff>
      <xdr:row>2</xdr:row>
      <xdr:rowOff>66675</xdr:rowOff>
    </xdr:from>
    <xdr:to>
      <xdr:col>34</xdr:col>
      <xdr:colOff>142874</xdr:colOff>
      <xdr:row>33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342900</xdr:colOff>
      <xdr:row>34</xdr:row>
      <xdr:rowOff>114300</xdr:rowOff>
    </xdr:from>
    <xdr:to>
      <xdr:col>25</xdr:col>
      <xdr:colOff>123825</xdr:colOff>
      <xdr:row>65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</xdr:row>
      <xdr:rowOff>104774</xdr:rowOff>
    </xdr:from>
    <xdr:to>
      <xdr:col>11</xdr:col>
      <xdr:colOff>514350</xdr:colOff>
      <xdr:row>29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</xdr:row>
      <xdr:rowOff>19049</xdr:rowOff>
    </xdr:from>
    <xdr:to>
      <xdr:col>12</xdr:col>
      <xdr:colOff>447675</xdr:colOff>
      <xdr:row>29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14" sqref="B14"/>
    </sheetView>
  </sheetViews>
  <sheetFormatPr defaultRowHeight="15" x14ac:dyDescent="0.25"/>
  <sheetData>
    <row r="1" spans="1:11" x14ac:dyDescent="0.25">
      <c r="E1" t="s">
        <v>19</v>
      </c>
      <c r="F1" t="s">
        <v>21</v>
      </c>
      <c r="G1" t="s">
        <v>20</v>
      </c>
      <c r="I1" t="s">
        <v>41</v>
      </c>
      <c r="K1" t="s">
        <v>22</v>
      </c>
    </row>
    <row r="2" spans="1:11" x14ac:dyDescent="0.25">
      <c r="A2">
        <v>8</v>
      </c>
      <c r="B2">
        <v>26</v>
      </c>
      <c r="C2">
        <v>86</v>
      </c>
      <c r="E2">
        <f>A2*B2*C2</f>
        <v>17888</v>
      </c>
      <c r="F2">
        <f>B2*C2</f>
        <v>2236</v>
      </c>
      <c r="G2">
        <f>2*B2*C2+2*C2*D2+2*B2*D2</f>
        <v>4472</v>
      </c>
      <c r="I2">
        <f>0.15*F2</f>
        <v>335.4</v>
      </c>
      <c r="K2">
        <f>G4/G2</f>
        <v>0.48837209302325579</v>
      </c>
    </row>
    <row r="4" spans="1:11" x14ac:dyDescent="0.25">
      <c r="A4">
        <v>8</v>
      </c>
      <c r="B4">
        <v>26</v>
      </c>
      <c r="C4">
        <v>42</v>
      </c>
      <c r="E4">
        <f>A4*B4*C4</f>
        <v>8736</v>
      </c>
      <c r="F4">
        <f>B4*C4</f>
        <v>1092</v>
      </c>
      <c r="G4">
        <f>2*B4*C4+2*C4*D4+2*B4*D4</f>
        <v>2184</v>
      </c>
      <c r="I4">
        <f t="shared" ref="I4" si="0">0.15*F4</f>
        <v>163.79999999999998</v>
      </c>
    </row>
    <row r="6" spans="1:11" x14ac:dyDescent="0.25">
      <c r="A6" t="s">
        <v>23</v>
      </c>
      <c r="F6" t="s">
        <v>42</v>
      </c>
    </row>
    <row r="7" spans="1:11" x14ac:dyDescent="0.25">
      <c r="A7" t="s">
        <v>28</v>
      </c>
      <c r="B7">
        <f>13.85/1000</f>
        <v>1.3849999999999999E-2</v>
      </c>
      <c r="F7">
        <f>B17/B7</f>
        <v>1.6014368506062506</v>
      </c>
    </row>
    <row r="9" spans="1:11" x14ac:dyDescent="0.25">
      <c r="B9">
        <f>9.26+9.3+10.75+13.06+15.19+17.85+21.56</f>
        <v>96.97</v>
      </c>
    </row>
    <row r="10" spans="1:11" x14ac:dyDescent="0.25">
      <c r="B10">
        <f>B9/7</f>
        <v>13.852857142857143</v>
      </c>
    </row>
    <row r="12" spans="1:11" x14ac:dyDescent="0.25">
      <c r="B12">
        <f>2600/12</f>
        <v>216.66666666666666</v>
      </c>
      <c r="C12">
        <f>B10/B12</f>
        <v>6.3936263736263738E-2</v>
      </c>
    </row>
    <row r="13" spans="1:11" x14ac:dyDescent="0.25">
      <c r="A13" t="s">
        <v>24</v>
      </c>
    </row>
    <row r="14" spans="1:11" x14ac:dyDescent="0.25">
      <c r="A14" t="s">
        <v>25</v>
      </c>
      <c r="B14">
        <v>7.5700000000000003E-2</v>
      </c>
    </row>
    <row r="15" spans="1:11" x14ac:dyDescent="0.25">
      <c r="A15" t="s">
        <v>26</v>
      </c>
      <c r="B15">
        <v>3413</v>
      </c>
    </row>
    <row r="16" spans="1:11" x14ac:dyDescent="0.25">
      <c r="A16" t="s">
        <v>27</v>
      </c>
      <c r="B16">
        <f>100000/100</f>
        <v>1000</v>
      </c>
    </row>
    <row r="17" spans="1:2" x14ac:dyDescent="0.25">
      <c r="A17" t="s">
        <v>29</v>
      </c>
      <c r="B17">
        <f>B14*(1/B15)*B16</f>
        <v>2.217990038089657E-2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G18" sqref="A14:G18"/>
    </sheetView>
  </sheetViews>
  <sheetFormatPr defaultRowHeight="15" x14ac:dyDescent="0.25"/>
  <sheetData>
    <row r="1" spans="1:12" x14ac:dyDescent="0.25">
      <c r="A1" t="s">
        <v>0</v>
      </c>
      <c r="B1" t="s">
        <v>7</v>
      </c>
      <c r="C1" t="s">
        <v>43</v>
      </c>
      <c r="F1" t="s">
        <v>44</v>
      </c>
      <c r="H1" t="s">
        <v>54</v>
      </c>
      <c r="J1" t="s">
        <v>45</v>
      </c>
      <c r="L1" t="s">
        <v>54</v>
      </c>
    </row>
    <row r="2" spans="1:12" x14ac:dyDescent="0.25">
      <c r="A2" t="s">
        <v>48</v>
      </c>
      <c r="B2" t="s">
        <v>49</v>
      </c>
      <c r="C2">
        <f>460+250</f>
        <v>710</v>
      </c>
      <c r="D2">
        <f>$C2*Ratios!$K$2*Ratios!$F$7</f>
        <v>555.28891726835343</v>
      </c>
      <c r="F2">
        <f>455+270</f>
        <v>725</v>
      </c>
      <c r="G2">
        <f>$F2*Ratios!$K$2*Ratios!$F$7</f>
        <v>567.02037326698053</v>
      </c>
      <c r="H2">
        <f>100*(D2-G2)/D2</f>
        <v>-2.1126760563380125</v>
      </c>
      <c r="J2">
        <f>460+250</f>
        <v>710</v>
      </c>
      <c r="K2">
        <f>$J2*Ratios!$K$2*Ratios!$F$7</f>
        <v>555.28891726835343</v>
      </c>
      <c r="L2">
        <f>100*(D2-K2)/D2</f>
        <v>0</v>
      </c>
    </row>
    <row r="3" spans="1:12" x14ac:dyDescent="0.25">
      <c r="A3" t="s">
        <v>50</v>
      </c>
      <c r="B3" t="s">
        <v>49</v>
      </c>
      <c r="C3">
        <f>420+220</f>
        <v>640</v>
      </c>
      <c r="D3">
        <f>$C3*Ratios!$K$2*Ratios!$F$7</f>
        <v>500.54212260809322</v>
      </c>
      <c r="F3">
        <f>410+250</f>
        <v>660</v>
      </c>
      <c r="G3">
        <f>$F3*Ratios!$K$2*Ratios!$F$7</f>
        <v>516.18406393959606</v>
      </c>
      <c r="H3">
        <f>100*(D3-G3)/D3</f>
        <v>-3.1249999999999845</v>
      </c>
      <c r="J3">
        <f>C3</f>
        <v>640</v>
      </c>
      <c r="K3">
        <f>$J3*Ratios!$K$2*Ratios!$F$7</f>
        <v>500.54212260809322</v>
      </c>
      <c r="L3">
        <f>100*(D3-K3)/D3</f>
        <v>0</v>
      </c>
    </row>
    <row r="4" spans="1:12" x14ac:dyDescent="0.25">
      <c r="A4" t="s">
        <v>50</v>
      </c>
      <c r="B4" t="s">
        <v>51</v>
      </c>
      <c r="C4">
        <f>370+280</f>
        <v>650</v>
      </c>
      <c r="D4">
        <f>$C4*Ratios!$K$2*Ratios!$F$7</f>
        <v>508.3630932738447</v>
      </c>
      <c r="F4">
        <f>370+290</f>
        <v>660</v>
      </c>
      <c r="G4">
        <f>$F4*Ratios!$K$2*Ratios!$F$7</f>
        <v>516.18406393959606</v>
      </c>
      <c r="H4">
        <f>100*(D4-G4)/D4</f>
        <v>-1.5384615384615195</v>
      </c>
      <c r="J4">
        <f>C4</f>
        <v>650</v>
      </c>
      <c r="K4">
        <f>$J4*Ratios!$K$2*Ratios!$F$7</f>
        <v>508.3630932738447</v>
      </c>
      <c r="L4">
        <f>100*(D4-K4)/D4</f>
        <v>0</v>
      </c>
    </row>
    <row r="5" spans="1:12" x14ac:dyDescent="0.25">
      <c r="A5" t="s">
        <v>52</v>
      </c>
      <c r="B5" t="s">
        <v>53</v>
      </c>
      <c r="C5">
        <f>340+220</f>
        <v>560</v>
      </c>
      <c r="D5">
        <f>$C5*Ratios!$K$2*Ratios!$F$7</f>
        <v>437.9743572820816</v>
      </c>
      <c r="F5">
        <f>340+230</f>
        <v>570</v>
      </c>
      <c r="G5">
        <f>$F5*Ratios!$K$2*Ratios!$F$7</f>
        <v>445.79532794783296</v>
      </c>
      <c r="H5">
        <f>100*(D5-G5)/D5</f>
        <v>-1.7857142857142636</v>
      </c>
      <c r="J5">
        <f>C5</f>
        <v>560</v>
      </c>
      <c r="K5">
        <f>$J5*Ratios!$K$2*Ratios!$F$7</f>
        <v>437.9743572820816</v>
      </c>
      <c r="L5">
        <f>100*(D5-K5)/D5</f>
        <v>0</v>
      </c>
    </row>
    <row r="7" spans="1:12" x14ac:dyDescent="0.25">
      <c r="F7" t="s">
        <v>47</v>
      </c>
      <c r="H7" t="s">
        <v>54</v>
      </c>
      <c r="J7" t="s">
        <v>46</v>
      </c>
      <c r="L7" t="s">
        <v>54</v>
      </c>
    </row>
    <row r="8" spans="1:12" x14ac:dyDescent="0.25">
      <c r="F8">
        <f>440+220</f>
        <v>660</v>
      </c>
      <c r="G8">
        <f>$F8*Ratios!$K$2*Ratios!$F$7</f>
        <v>516.18406393959606</v>
      </c>
      <c r="H8">
        <f>100*(D2-G8)/D2</f>
        <v>7.0422535211267761</v>
      </c>
      <c r="J8">
        <f>485+250</f>
        <v>735</v>
      </c>
      <c r="K8">
        <f>J8*Ratios!$K$2*Ratios!$F$7</f>
        <v>574.84134393273212</v>
      </c>
      <c r="L8">
        <f>100*(D2-K8)/D2</f>
        <v>-3.521126760563388</v>
      </c>
    </row>
    <row r="9" spans="1:12" x14ac:dyDescent="0.25">
      <c r="F9">
        <f>400+200</f>
        <v>600</v>
      </c>
      <c r="G9">
        <f>$F9*Ratios!$K$2*Ratios!$F$7</f>
        <v>469.25823994508738</v>
      </c>
      <c r="H9">
        <f>100*(D3-G9)/D3</f>
        <v>6.2500000000000036</v>
      </c>
      <c r="J9">
        <f>450+220</f>
        <v>670</v>
      </c>
      <c r="K9">
        <f>J9*Ratios!$K$2*Ratios!$F$7</f>
        <v>524.00503460534765</v>
      </c>
      <c r="L9">
        <f>100*(D3-K9)/D3</f>
        <v>-4.6875000000000107</v>
      </c>
    </row>
    <row r="10" spans="1:12" x14ac:dyDescent="0.25">
      <c r="F10">
        <f>360+280</f>
        <v>640</v>
      </c>
      <c r="G10">
        <f>$F10*Ratios!$K$2*Ratios!$F$7</f>
        <v>500.54212260809322</v>
      </c>
      <c r="H10">
        <f>100*(D4-G10)/D4</f>
        <v>1.5384615384615419</v>
      </c>
      <c r="J10">
        <f>380+285</f>
        <v>665</v>
      </c>
      <c r="K10">
        <f>J10*Ratios!$K$2*Ratios!$F$7</f>
        <v>520.09454927247191</v>
      </c>
      <c r="L10">
        <f>100*(D4-K10)/D4</f>
        <v>-2.3076923076923128</v>
      </c>
    </row>
    <row r="11" spans="1:12" x14ac:dyDescent="0.25">
      <c r="F11">
        <f>320+215</f>
        <v>535</v>
      </c>
      <c r="G11">
        <f>$F11*Ratios!$K$2*Ratios!$F$7</f>
        <v>418.42193061770291</v>
      </c>
      <c r="H11">
        <f>100*(D5-G11)/D5</f>
        <v>4.4642857142857242</v>
      </c>
      <c r="J11">
        <f>350+225</f>
        <v>575</v>
      </c>
      <c r="K11">
        <f>J11*Ratios!$K$2*Ratios!$F$7</f>
        <v>449.70581328070875</v>
      </c>
      <c r="L11">
        <f>100*(D5-K11)/D5</f>
        <v>-2.6785714285714217</v>
      </c>
    </row>
    <row r="14" spans="1:12" x14ac:dyDescent="0.25">
      <c r="A14" t="s">
        <v>0</v>
      </c>
      <c r="B14" t="s">
        <v>7</v>
      </c>
      <c r="C14" t="s">
        <v>62</v>
      </c>
      <c r="D14" t="s">
        <v>63</v>
      </c>
      <c r="E14" t="s">
        <v>64</v>
      </c>
      <c r="F14" t="s">
        <v>65</v>
      </c>
      <c r="G14" t="s">
        <v>66</v>
      </c>
    </row>
    <row r="15" spans="1:12" x14ac:dyDescent="0.25">
      <c r="A15" t="s">
        <v>48</v>
      </c>
      <c r="B15" t="s">
        <v>49</v>
      </c>
      <c r="C15" s="2">
        <f ca="1">$C15*Ratios!$K$2*Ratios!$F$7</f>
        <v>555.28891726835343</v>
      </c>
      <c r="D15" s="2">
        <f>$F2*Ratios!$K$2*Ratios!$F$7</f>
        <v>567.02037326698053</v>
      </c>
      <c r="E15" s="2">
        <f>$J2*Ratios!$K$2*Ratios!$F$7</f>
        <v>555.28891726835343</v>
      </c>
      <c r="F15" s="2">
        <f ca="1">$F15*Ratios!$K$2*Ratios!$F$7</f>
        <v>516.18406393959606</v>
      </c>
      <c r="G15" s="2">
        <f ca="1">F15*Ratios!$K$2*Ratios!$F$7</f>
        <v>574.84134393273212</v>
      </c>
    </row>
    <row r="16" spans="1:12" x14ac:dyDescent="0.25">
      <c r="A16" t="s">
        <v>50</v>
      </c>
      <c r="B16" t="s">
        <v>49</v>
      </c>
      <c r="C16" s="2">
        <f ca="1">$C16*Ratios!$K$2*Ratios!$F$7</f>
        <v>500.54212260809322</v>
      </c>
      <c r="D16" s="2">
        <f>$F3*Ratios!$K$2*Ratios!$F$7</f>
        <v>516.18406393959606</v>
      </c>
      <c r="E16" s="2">
        <f>$J3*Ratios!$K$2*Ratios!$F$7</f>
        <v>500.54212260809322</v>
      </c>
      <c r="F16" s="2">
        <f ca="1">$F16*Ratios!$K$2*Ratios!$F$7</f>
        <v>469.25823994508738</v>
      </c>
      <c r="G16" s="2">
        <f ca="1">F16*Ratios!$K$2*Ratios!$F$7</f>
        <v>524.00503460534765</v>
      </c>
    </row>
    <row r="17" spans="1:7" x14ac:dyDescent="0.25">
      <c r="A17" t="s">
        <v>50</v>
      </c>
      <c r="B17" t="s">
        <v>51</v>
      </c>
      <c r="C17" s="2">
        <f ca="1">$C17*Ratios!$K$2*Ratios!$F$7</f>
        <v>508.3630932738447</v>
      </c>
      <c r="D17" s="2">
        <f>$F4*Ratios!$K$2*Ratios!$F$7</f>
        <v>516.18406393959606</v>
      </c>
      <c r="E17" s="2">
        <f>$J4*Ratios!$K$2*Ratios!$F$7</f>
        <v>508.3630932738447</v>
      </c>
      <c r="F17" s="2">
        <f ca="1">$F17*Ratios!$K$2*Ratios!$F$7</f>
        <v>500.54212260809322</v>
      </c>
      <c r="G17" s="2">
        <f ca="1">F17*Ratios!$K$2*Ratios!$F$7</f>
        <v>520.09454927247191</v>
      </c>
    </row>
    <row r="18" spans="1:7" x14ac:dyDescent="0.25">
      <c r="A18" t="s">
        <v>52</v>
      </c>
      <c r="B18" t="s">
        <v>53</v>
      </c>
      <c r="C18" s="2">
        <f ca="1">$C18*Ratios!$K$2*Ratios!$F$7</f>
        <v>437.9743572820816</v>
      </c>
      <c r="D18" s="2">
        <f>$F5*Ratios!$K$2*Ratios!$F$7</f>
        <v>445.79532794783296</v>
      </c>
      <c r="E18" s="2">
        <f>$J5*Ratios!$K$2*Ratios!$F$7</f>
        <v>437.9743572820816</v>
      </c>
      <c r="F18" s="2">
        <f ca="1">$F18*Ratios!$K$2*Ratios!$F$7</f>
        <v>418.42193061770291</v>
      </c>
      <c r="G18" s="2">
        <f ca="1">F18*Ratios!$K$2*Ratios!$F$7</f>
        <v>449.70581328070875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F5" sqref="F5"/>
    </sheetView>
  </sheetViews>
  <sheetFormatPr defaultRowHeight="15" x14ac:dyDescent="0.25"/>
  <cols>
    <col min="3" max="3" width="11.42578125" customWidth="1"/>
    <col min="5" max="5" width="11.42578125" customWidth="1"/>
    <col min="7" max="7" width="14.140625" customWidth="1"/>
  </cols>
  <sheetData>
    <row r="1" spans="1:9" x14ac:dyDescent="0.25">
      <c r="A1" t="s">
        <v>0</v>
      </c>
      <c r="B1" t="s">
        <v>7</v>
      </c>
      <c r="C1" t="s">
        <v>1</v>
      </c>
      <c r="E1" t="s">
        <v>4</v>
      </c>
      <c r="G1" t="s">
        <v>5</v>
      </c>
      <c r="I1" t="s">
        <v>12</v>
      </c>
    </row>
    <row r="2" spans="1:9" x14ac:dyDescent="0.25">
      <c r="A2">
        <v>0.26</v>
      </c>
      <c r="B2">
        <v>0.25</v>
      </c>
      <c r="C2" t="s">
        <v>6</v>
      </c>
      <c r="E2">
        <v>350</v>
      </c>
      <c r="F2">
        <f>Sheet1!E2*Ratios!K$2*Ratios!F$7</f>
        <v>273.73397330130098</v>
      </c>
      <c r="G2">
        <v>500</v>
      </c>
      <c r="H2">
        <f>Sheet1!G2*Ratios!K$2</f>
        <v>244.18604651162789</v>
      </c>
      <c r="I2">
        <f>F2+H2</f>
        <v>517.9200198129289</v>
      </c>
    </row>
    <row r="3" spans="1:9" x14ac:dyDescent="0.25">
      <c r="A3">
        <v>0.26</v>
      </c>
      <c r="B3">
        <v>0.41</v>
      </c>
      <c r="C3" t="s">
        <v>6</v>
      </c>
      <c r="E3">
        <v>300</v>
      </c>
      <c r="F3">
        <f>Sheet1!E3*Ratios!K$2*Ratios!F$7</f>
        <v>234.62911997254369</v>
      </c>
      <c r="G3">
        <v>500</v>
      </c>
      <c r="H3">
        <f>Sheet1!G3*Ratios!K$2</f>
        <v>244.18604651162789</v>
      </c>
      <c r="I3">
        <f t="shared" ref="I3:I12" si="0">F3+H3</f>
        <v>478.81516648417158</v>
      </c>
    </row>
    <row r="4" spans="1:9" x14ac:dyDescent="0.25">
      <c r="A4">
        <v>0.31</v>
      </c>
      <c r="B4">
        <v>0.25</v>
      </c>
      <c r="C4" t="s">
        <v>9</v>
      </c>
      <c r="E4">
        <v>375</v>
      </c>
      <c r="F4">
        <f>Sheet1!E4*Ratios!K$2*Ratios!F$7</f>
        <v>293.28639996567961</v>
      </c>
      <c r="G4">
        <v>550</v>
      </c>
      <c r="H4">
        <f>Sheet1!G4*Ratios!K$2</f>
        <v>268.60465116279067</v>
      </c>
      <c r="I4">
        <f t="shared" si="0"/>
        <v>561.89105112847028</v>
      </c>
    </row>
    <row r="5" spans="1:9" x14ac:dyDescent="0.25">
      <c r="A5">
        <v>0.31</v>
      </c>
      <c r="B5">
        <v>0.41</v>
      </c>
      <c r="C5" t="s">
        <v>9</v>
      </c>
      <c r="E5">
        <v>300</v>
      </c>
      <c r="F5">
        <f>Sheet1!E5*Ratios!K$2*Ratios!F$7</f>
        <v>234.62911997254369</v>
      </c>
      <c r="G5">
        <v>550</v>
      </c>
      <c r="H5">
        <f>Sheet1!G5*Ratios!K$2</f>
        <v>268.60465116279067</v>
      </c>
      <c r="I5">
        <f t="shared" si="0"/>
        <v>503.23377113533434</v>
      </c>
    </row>
    <row r="6" spans="1:9" x14ac:dyDescent="0.25">
      <c r="A6">
        <v>0.41</v>
      </c>
      <c r="B6">
        <v>0.25</v>
      </c>
      <c r="C6" t="s">
        <v>8</v>
      </c>
      <c r="E6">
        <v>425</v>
      </c>
      <c r="F6">
        <f>Sheet1!E6*Ratios!K$2*Ratios!F$7</f>
        <v>332.39125329443686</v>
      </c>
      <c r="G6">
        <v>575</v>
      </c>
      <c r="H6">
        <f>Sheet1!G6*Ratios!K$2</f>
        <v>280.81395348837208</v>
      </c>
      <c r="I6">
        <f t="shared" si="0"/>
        <v>613.205206782809</v>
      </c>
    </row>
    <row r="7" spans="1:9" x14ac:dyDescent="0.25">
      <c r="A7">
        <v>0.41</v>
      </c>
      <c r="B7">
        <v>0.41</v>
      </c>
      <c r="C7" t="s">
        <v>9</v>
      </c>
      <c r="E7">
        <v>325</v>
      </c>
      <c r="F7">
        <f>Sheet1!E7*Ratios!K$2*Ratios!F$7</f>
        <v>254.18154663692235</v>
      </c>
      <c r="G7">
        <v>600</v>
      </c>
      <c r="H7">
        <f>Sheet1!G7*Ratios!K$2</f>
        <v>293.02325581395348</v>
      </c>
      <c r="I7">
        <f t="shared" si="0"/>
        <v>547.20480245087583</v>
      </c>
    </row>
    <row r="8" spans="1:9" x14ac:dyDescent="0.25">
      <c r="A8">
        <v>0.56000000000000005</v>
      </c>
      <c r="B8">
        <v>0.25</v>
      </c>
      <c r="C8" t="s">
        <v>10</v>
      </c>
      <c r="E8">
        <v>450</v>
      </c>
      <c r="F8">
        <f>Sheet1!E8*Ratios!K$2*Ratios!F$7</f>
        <v>351.94367995881555</v>
      </c>
      <c r="G8">
        <v>625</v>
      </c>
      <c r="H8">
        <f>Sheet1!G8*Ratios!K$2</f>
        <v>305.23255813953489</v>
      </c>
      <c r="I8">
        <f t="shared" si="0"/>
        <v>657.1762380983505</v>
      </c>
    </row>
    <row r="9" spans="1:9" x14ac:dyDescent="0.25">
      <c r="A9">
        <v>0.56000000000000005</v>
      </c>
      <c r="B9">
        <v>0.6</v>
      </c>
      <c r="C9" t="s">
        <v>10</v>
      </c>
      <c r="E9">
        <v>375</v>
      </c>
      <c r="F9">
        <f>Sheet1!E9*Ratios!K$2*Ratios!F$7</f>
        <v>293.28639996567961</v>
      </c>
      <c r="G9">
        <v>650</v>
      </c>
      <c r="H9">
        <f>Sheet1!G9*Ratios!K$2</f>
        <v>317.44186046511629</v>
      </c>
      <c r="I9">
        <f t="shared" si="0"/>
        <v>610.7282604307959</v>
      </c>
    </row>
    <row r="10" spans="1:9" x14ac:dyDescent="0.25">
      <c r="A10">
        <v>0.56000000000000005</v>
      </c>
      <c r="B10">
        <v>0.41</v>
      </c>
      <c r="C10" t="s">
        <v>8</v>
      </c>
      <c r="E10">
        <v>425</v>
      </c>
      <c r="F10">
        <f>Sheet1!E10*Ratios!K$2*Ratios!F$7</f>
        <v>332.39125329443686</v>
      </c>
      <c r="G10">
        <v>650</v>
      </c>
      <c r="H10">
        <f>Sheet1!G10*Ratios!K$2</f>
        <v>317.44186046511629</v>
      </c>
      <c r="I10">
        <f t="shared" si="0"/>
        <v>649.83311375955316</v>
      </c>
    </row>
    <row r="11" spans="1:9" x14ac:dyDescent="0.25">
      <c r="A11">
        <v>0.71</v>
      </c>
      <c r="B11">
        <v>0.41</v>
      </c>
      <c r="C11" t="s">
        <v>11</v>
      </c>
      <c r="E11">
        <v>500</v>
      </c>
      <c r="F11">
        <f>Sheet1!E11*Ratios!K$2*Ratios!F$7</f>
        <v>391.04853328757281</v>
      </c>
      <c r="G11">
        <v>700</v>
      </c>
      <c r="H11">
        <f>Sheet1!G11*Ratios!K$2</f>
        <v>341.86046511627904</v>
      </c>
      <c r="I11">
        <f t="shared" si="0"/>
        <v>732.90899840385191</v>
      </c>
    </row>
    <row r="12" spans="1:9" x14ac:dyDescent="0.25">
      <c r="A12">
        <v>0.71</v>
      </c>
      <c r="B12">
        <v>0.6</v>
      </c>
      <c r="C12" t="s">
        <v>11</v>
      </c>
      <c r="E12">
        <v>450</v>
      </c>
      <c r="F12">
        <f>Sheet1!E12*Ratios!K$2*Ratios!F$7</f>
        <v>351.94367995881555</v>
      </c>
      <c r="G12">
        <v>725</v>
      </c>
      <c r="H12">
        <f>Sheet1!G12*Ratios!K$2</f>
        <v>354.06976744186045</v>
      </c>
      <c r="I12">
        <f t="shared" si="0"/>
        <v>706.013447400676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abSelected="1" topLeftCell="J31" workbookViewId="0">
      <selection activeCell="AC54" sqref="AC54"/>
    </sheetView>
  </sheetViews>
  <sheetFormatPr defaultRowHeight="15" x14ac:dyDescent="0.25"/>
  <cols>
    <col min="4" max="4" width="11.5703125" customWidth="1"/>
    <col min="5" max="5" width="12.5703125" customWidth="1"/>
  </cols>
  <sheetData>
    <row r="1" spans="1:14" x14ac:dyDescent="0.25">
      <c r="B1" t="s">
        <v>0</v>
      </c>
      <c r="C1" t="s">
        <v>7</v>
      </c>
      <c r="D1" t="s">
        <v>1</v>
      </c>
      <c r="E1" t="s">
        <v>3</v>
      </c>
      <c r="F1" t="s">
        <v>2</v>
      </c>
      <c r="G1" t="s">
        <v>4</v>
      </c>
      <c r="H1" t="s">
        <v>5</v>
      </c>
      <c r="I1" t="s">
        <v>12</v>
      </c>
      <c r="K1" t="s">
        <v>15</v>
      </c>
    </row>
    <row r="2" spans="1:14" x14ac:dyDescent="0.25">
      <c r="A2">
        <v>0</v>
      </c>
      <c r="B2">
        <v>0.31</v>
      </c>
      <c r="C2">
        <v>0.3</v>
      </c>
      <c r="D2" t="s">
        <v>14</v>
      </c>
      <c r="E2" t="s">
        <v>13</v>
      </c>
      <c r="F2">
        <v>142</v>
      </c>
      <c r="G2">
        <v>293</v>
      </c>
      <c r="H2">
        <v>260</v>
      </c>
      <c r="I2">
        <f>G2+H2</f>
        <v>553</v>
      </c>
      <c r="K2">
        <f>F$2*7+I$2*A2</f>
        <v>994</v>
      </c>
      <c r="M2">
        <f>(K2+K24+K68+K90)/4</f>
        <v>1037.75</v>
      </c>
      <c r="N2">
        <f>K46-M2</f>
        <v>-400.75</v>
      </c>
    </row>
    <row r="3" spans="1:14" x14ac:dyDescent="0.25">
      <c r="A3">
        <v>1</v>
      </c>
      <c r="K3">
        <f>F$2*7+I$2*A3</f>
        <v>1547</v>
      </c>
      <c r="M3">
        <f t="shared" ref="M3:M22" si="0">(K3+K25+K69+K91)/4</f>
        <v>1585.75</v>
      </c>
      <c r="N3">
        <f t="shared" ref="N3:N22" si="1">K47-M3</f>
        <v>-243.75</v>
      </c>
    </row>
    <row r="4" spans="1:14" x14ac:dyDescent="0.25">
      <c r="A4">
        <v>2</v>
      </c>
      <c r="K4">
        <f t="shared" ref="K4:K22" si="2">F$2*7+I$2*A4</f>
        <v>2100</v>
      </c>
      <c r="M4">
        <f t="shared" si="0"/>
        <v>2133.75</v>
      </c>
      <c r="N4">
        <f t="shared" si="1"/>
        <v>-86.75</v>
      </c>
    </row>
    <row r="5" spans="1:14" x14ac:dyDescent="0.25">
      <c r="A5">
        <v>3</v>
      </c>
      <c r="K5">
        <f t="shared" si="2"/>
        <v>2653</v>
      </c>
      <c r="M5">
        <f t="shared" si="0"/>
        <v>2681.75</v>
      </c>
      <c r="N5">
        <f t="shared" si="1"/>
        <v>70.25</v>
      </c>
    </row>
    <row r="6" spans="1:14" x14ac:dyDescent="0.25">
      <c r="A6">
        <v>4</v>
      </c>
      <c r="K6">
        <f t="shared" si="2"/>
        <v>3206</v>
      </c>
      <c r="M6">
        <f t="shared" si="0"/>
        <v>3229.75</v>
      </c>
      <c r="N6">
        <f t="shared" si="1"/>
        <v>227.25</v>
      </c>
    </row>
    <row r="7" spans="1:14" x14ac:dyDescent="0.25">
      <c r="A7">
        <v>5</v>
      </c>
      <c r="K7">
        <f t="shared" si="2"/>
        <v>3759</v>
      </c>
      <c r="M7">
        <f t="shared" si="0"/>
        <v>3777.75</v>
      </c>
      <c r="N7">
        <f t="shared" si="1"/>
        <v>384.25</v>
      </c>
    </row>
    <row r="8" spans="1:14" x14ac:dyDescent="0.25">
      <c r="A8">
        <v>6</v>
      </c>
      <c r="K8">
        <f t="shared" si="2"/>
        <v>4312</v>
      </c>
      <c r="M8">
        <f t="shared" si="0"/>
        <v>4325.75</v>
      </c>
      <c r="N8">
        <f t="shared" si="1"/>
        <v>541.25</v>
      </c>
    </row>
    <row r="9" spans="1:14" x14ac:dyDescent="0.25">
      <c r="A9">
        <v>7</v>
      </c>
      <c r="K9">
        <f t="shared" si="2"/>
        <v>4865</v>
      </c>
      <c r="M9">
        <f t="shared" si="0"/>
        <v>4873.75</v>
      </c>
      <c r="N9">
        <f t="shared" si="1"/>
        <v>698.25</v>
      </c>
    </row>
    <row r="10" spans="1:14" x14ac:dyDescent="0.25">
      <c r="A10">
        <v>8</v>
      </c>
      <c r="K10">
        <f t="shared" si="2"/>
        <v>5418</v>
      </c>
      <c r="M10">
        <f t="shared" si="0"/>
        <v>5421.75</v>
      </c>
      <c r="N10">
        <f t="shared" si="1"/>
        <v>855.25</v>
      </c>
    </row>
    <row r="11" spans="1:14" x14ac:dyDescent="0.25">
      <c r="A11">
        <v>9</v>
      </c>
      <c r="K11">
        <f t="shared" si="2"/>
        <v>5971</v>
      </c>
      <c r="M11">
        <f t="shared" si="0"/>
        <v>5969.75</v>
      </c>
      <c r="N11">
        <f t="shared" si="1"/>
        <v>1012.25</v>
      </c>
    </row>
    <row r="12" spans="1:14" x14ac:dyDescent="0.25">
      <c r="A12">
        <v>10</v>
      </c>
      <c r="K12">
        <f t="shared" si="2"/>
        <v>6524</v>
      </c>
      <c r="M12">
        <f t="shared" si="0"/>
        <v>6517.75</v>
      </c>
      <c r="N12">
        <f t="shared" si="1"/>
        <v>1169.25</v>
      </c>
    </row>
    <row r="13" spans="1:14" x14ac:dyDescent="0.25">
      <c r="A13">
        <v>11</v>
      </c>
      <c r="K13">
        <f t="shared" si="2"/>
        <v>7077</v>
      </c>
      <c r="M13">
        <f t="shared" si="0"/>
        <v>7065.75</v>
      </c>
      <c r="N13">
        <f t="shared" si="1"/>
        <v>1326.25</v>
      </c>
    </row>
    <row r="14" spans="1:14" x14ac:dyDescent="0.25">
      <c r="A14">
        <v>12</v>
      </c>
      <c r="K14">
        <f t="shared" si="2"/>
        <v>7630</v>
      </c>
      <c r="M14">
        <f t="shared" si="0"/>
        <v>7613.75</v>
      </c>
      <c r="N14">
        <f t="shared" si="1"/>
        <v>1483.25</v>
      </c>
    </row>
    <row r="15" spans="1:14" x14ac:dyDescent="0.25">
      <c r="A15">
        <v>13</v>
      </c>
      <c r="K15">
        <f t="shared" si="2"/>
        <v>8183</v>
      </c>
      <c r="M15">
        <f t="shared" si="0"/>
        <v>8161.75</v>
      </c>
      <c r="N15">
        <f t="shared" si="1"/>
        <v>1640.25</v>
      </c>
    </row>
    <row r="16" spans="1:14" x14ac:dyDescent="0.25">
      <c r="A16">
        <v>14</v>
      </c>
      <c r="K16">
        <f t="shared" si="2"/>
        <v>8736</v>
      </c>
      <c r="M16">
        <f t="shared" si="0"/>
        <v>8709.75</v>
      </c>
      <c r="N16">
        <f t="shared" si="1"/>
        <v>1797.25</v>
      </c>
    </row>
    <row r="17" spans="1:15" x14ac:dyDescent="0.25">
      <c r="A17">
        <v>15</v>
      </c>
      <c r="K17">
        <f t="shared" si="2"/>
        <v>9289</v>
      </c>
      <c r="M17">
        <f t="shared" si="0"/>
        <v>9257.75</v>
      </c>
      <c r="N17">
        <f t="shared" si="1"/>
        <v>1954.25</v>
      </c>
    </row>
    <row r="18" spans="1:15" x14ac:dyDescent="0.25">
      <c r="A18">
        <v>16</v>
      </c>
      <c r="K18">
        <f t="shared" si="2"/>
        <v>9842</v>
      </c>
      <c r="M18">
        <f t="shared" si="0"/>
        <v>9805.75</v>
      </c>
      <c r="N18">
        <f t="shared" si="1"/>
        <v>2111.25</v>
      </c>
    </row>
    <row r="19" spans="1:15" x14ac:dyDescent="0.25">
      <c r="A19">
        <v>17</v>
      </c>
      <c r="K19">
        <f t="shared" si="2"/>
        <v>10395</v>
      </c>
      <c r="M19">
        <f t="shared" si="0"/>
        <v>10353.75</v>
      </c>
      <c r="N19">
        <f t="shared" si="1"/>
        <v>2268.25</v>
      </c>
    </row>
    <row r="20" spans="1:15" x14ac:dyDescent="0.25">
      <c r="A20">
        <v>18</v>
      </c>
      <c r="K20">
        <f t="shared" si="2"/>
        <v>10948</v>
      </c>
      <c r="M20">
        <f t="shared" si="0"/>
        <v>10901.75</v>
      </c>
      <c r="N20">
        <f t="shared" si="1"/>
        <v>2425.25</v>
      </c>
    </row>
    <row r="21" spans="1:15" x14ac:dyDescent="0.25">
      <c r="A21">
        <v>19</v>
      </c>
      <c r="K21">
        <f t="shared" si="2"/>
        <v>11501</v>
      </c>
      <c r="M21">
        <f t="shared" si="0"/>
        <v>11449.75</v>
      </c>
      <c r="N21">
        <f t="shared" si="1"/>
        <v>2582.25</v>
      </c>
    </row>
    <row r="22" spans="1:15" x14ac:dyDescent="0.25">
      <c r="A22">
        <v>20</v>
      </c>
      <c r="K22">
        <f t="shared" si="2"/>
        <v>12054</v>
      </c>
      <c r="M22">
        <f t="shared" si="0"/>
        <v>11997.75</v>
      </c>
      <c r="N22">
        <f t="shared" si="1"/>
        <v>2739.25</v>
      </c>
      <c r="O22">
        <f>M22-N22</f>
        <v>9258.5</v>
      </c>
    </row>
    <row r="23" spans="1:15" x14ac:dyDescent="0.25">
      <c r="O23">
        <f>(K44-N22)/N22</f>
        <v>3.4457424477502965</v>
      </c>
    </row>
    <row r="24" spans="1:15" x14ac:dyDescent="0.25">
      <c r="B24">
        <v>0.3</v>
      </c>
      <c r="C24">
        <v>0.22</v>
      </c>
      <c r="D24" t="s">
        <v>14</v>
      </c>
      <c r="E24" t="s">
        <v>18</v>
      </c>
      <c r="F24">
        <v>134</v>
      </c>
      <c r="G24">
        <v>293</v>
      </c>
      <c r="H24">
        <v>269</v>
      </c>
      <c r="I24">
        <f>G24+H24</f>
        <v>562</v>
      </c>
      <c r="K24">
        <f>F$24*7+I$24*A2</f>
        <v>938</v>
      </c>
      <c r="N24">
        <f>SUM(N2:N22)</f>
        <v>24554.25</v>
      </c>
    </row>
    <row r="25" spans="1:15" x14ac:dyDescent="0.25">
      <c r="K25">
        <f t="shared" ref="K25:K44" si="3">F$24*7+I$24*A3</f>
        <v>1500</v>
      </c>
      <c r="N25">
        <f>N24/21</f>
        <v>1169.25</v>
      </c>
    </row>
    <row r="26" spans="1:15" x14ac:dyDescent="0.25">
      <c r="K26">
        <f t="shared" si="3"/>
        <v>2062</v>
      </c>
    </row>
    <row r="27" spans="1:15" x14ac:dyDescent="0.25">
      <c r="K27">
        <f t="shared" si="3"/>
        <v>2624</v>
      </c>
    </row>
    <row r="28" spans="1:15" x14ac:dyDescent="0.25">
      <c r="K28">
        <f t="shared" si="3"/>
        <v>3186</v>
      </c>
    </row>
    <row r="29" spans="1:15" x14ac:dyDescent="0.25">
      <c r="K29">
        <f t="shared" si="3"/>
        <v>3748</v>
      </c>
    </row>
    <row r="30" spans="1:15" x14ac:dyDescent="0.25">
      <c r="K30">
        <f t="shared" si="3"/>
        <v>4310</v>
      </c>
    </row>
    <row r="31" spans="1:15" x14ac:dyDescent="0.25">
      <c r="K31">
        <f t="shared" si="3"/>
        <v>4872</v>
      </c>
    </row>
    <row r="32" spans="1:15" x14ac:dyDescent="0.25">
      <c r="K32">
        <f t="shared" si="3"/>
        <v>5434</v>
      </c>
    </row>
    <row r="33" spans="2:11" x14ac:dyDescent="0.25">
      <c r="K33">
        <f t="shared" si="3"/>
        <v>5996</v>
      </c>
    </row>
    <row r="34" spans="2:11" x14ac:dyDescent="0.25">
      <c r="K34">
        <f t="shared" si="3"/>
        <v>6558</v>
      </c>
    </row>
    <row r="35" spans="2:11" x14ac:dyDescent="0.25">
      <c r="K35">
        <f t="shared" si="3"/>
        <v>7120</v>
      </c>
    </row>
    <row r="36" spans="2:11" x14ac:dyDescent="0.25">
      <c r="K36">
        <f t="shared" si="3"/>
        <v>7682</v>
      </c>
    </row>
    <row r="37" spans="2:11" x14ac:dyDescent="0.25">
      <c r="K37">
        <f t="shared" si="3"/>
        <v>8244</v>
      </c>
    </row>
    <row r="38" spans="2:11" x14ac:dyDescent="0.25">
      <c r="K38">
        <f t="shared" si="3"/>
        <v>8806</v>
      </c>
    </row>
    <row r="39" spans="2:11" x14ac:dyDescent="0.25">
      <c r="K39">
        <f t="shared" si="3"/>
        <v>9368</v>
      </c>
    </row>
    <row r="40" spans="2:11" x14ac:dyDescent="0.25">
      <c r="K40">
        <f t="shared" si="3"/>
        <v>9930</v>
      </c>
    </row>
    <row r="41" spans="2:11" x14ac:dyDescent="0.25">
      <c r="K41">
        <f t="shared" si="3"/>
        <v>10492</v>
      </c>
    </row>
    <row r="42" spans="2:11" x14ac:dyDescent="0.25">
      <c r="K42">
        <f t="shared" si="3"/>
        <v>11054</v>
      </c>
    </row>
    <row r="43" spans="2:11" x14ac:dyDescent="0.25">
      <c r="K43">
        <f t="shared" si="3"/>
        <v>11616</v>
      </c>
    </row>
    <row r="44" spans="2:11" x14ac:dyDescent="0.25">
      <c r="K44">
        <f t="shared" si="3"/>
        <v>12178</v>
      </c>
    </row>
    <row r="46" spans="2:11" x14ac:dyDescent="0.25">
      <c r="B46">
        <v>0.69</v>
      </c>
      <c r="C46">
        <v>0.61</v>
      </c>
      <c r="D46" t="s">
        <v>16</v>
      </c>
      <c r="E46" t="s">
        <v>17</v>
      </c>
      <c r="F46">
        <v>91</v>
      </c>
      <c r="G46">
        <v>351</v>
      </c>
      <c r="H46">
        <v>354</v>
      </c>
      <c r="I46">
        <f>G46+H46</f>
        <v>705</v>
      </c>
      <c r="K46">
        <f t="shared" ref="K46:K66" si="4">F$46*7+I$46*$A2</f>
        <v>637</v>
      </c>
    </row>
    <row r="47" spans="2:11" x14ac:dyDescent="0.25">
      <c r="K47">
        <f t="shared" si="4"/>
        <v>1342</v>
      </c>
    </row>
    <row r="48" spans="2:11" x14ac:dyDescent="0.25">
      <c r="K48">
        <f t="shared" si="4"/>
        <v>2047</v>
      </c>
    </row>
    <row r="49" spans="11:11" x14ac:dyDescent="0.25">
      <c r="K49">
        <f t="shared" si="4"/>
        <v>2752</v>
      </c>
    </row>
    <row r="50" spans="11:11" x14ac:dyDescent="0.25">
      <c r="K50">
        <f t="shared" si="4"/>
        <v>3457</v>
      </c>
    </row>
    <row r="51" spans="11:11" x14ac:dyDescent="0.25">
      <c r="K51">
        <f t="shared" si="4"/>
        <v>4162</v>
      </c>
    </row>
    <row r="52" spans="11:11" x14ac:dyDescent="0.25">
      <c r="K52">
        <f t="shared" si="4"/>
        <v>4867</v>
      </c>
    </row>
    <row r="53" spans="11:11" x14ac:dyDescent="0.25">
      <c r="K53">
        <f t="shared" si="4"/>
        <v>5572</v>
      </c>
    </row>
    <row r="54" spans="11:11" x14ac:dyDescent="0.25">
      <c r="K54">
        <f t="shared" si="4"/>
        <v>6277</v>
      </c>
    </row>
    <row r="55" spans="11:11" x14ac:dyDescent="0.25">
      <c r="K55">
        <f t="shared" si="4"/>
        <v>6982</v>
      </c>
    </row>
    <row r="56" spans="11:11" x14ac:dyDescent="0.25">
      <c r="K56">
        <f t="shared" si="4"/>
        <v>7687</v>
      </c>
    </row>
    <row r="57" spans="11:11" x14ac:dyDescent="0.25">
      <c r="K57">
        <f t="shared" si="4"/>
        <v>8392</v>
      </c>
    </row>
    <row r="58" spans="11:11" x14ac:dyDescent="0.25">
      <c r="K58">
        <f t="shared" si="4"/>
        <v>9097</v>
      </c>
    </row>
    <row r="59" spans="11:11" x14ac:dyDescent="0.25">
      <c r="K59">
        <f t="shared" si="4"/>
        <v>9802</v>
      </c>
    </row>
    <row r="60" spans="11:11" x14ac:dyDescent="0.25">
      <c r="K60">
        <f t="shared" si="4"/>
        <v>10507</v>
      </c>
    </row>
    <row r="61" spans="11:11" x14ac:dyDescent="0.25">
      <c r="K61">
        <f t="shared" si="4"/>
        <v>11212</v>
      </c>
    </row>
    <row r="62" spans="11:11" x14ac:dyDescent="0.25">
      <c r="K62">
        <f t="shared" si="4"/>
        <v>11917</v>
      </c>
    </row>
    <row r="63" spans="11:11" x14ac:dyDescent="0.25">
      <c r="K63">
        <f t="shared" si="4"/>
        <v>12622</v>
      </c>
    </row>
    <row r="64" spans="11:11" x14ac:dyDescent="0.25">
      <c r="K64">
        <f t="shared" si="4"/>
        <v>13327</v>
      </c>
    </row>
    <row r="65" spans="2:11" x14ac:dyDescent="0.25">
      <c r="K65">
        <f t="shared" si="4"/>
        <v>14032</v>
      </c>
    </row>
    <row r="66" spans="2:11" x14ac:dyDescent="0.25">
      <c r="K66">
        <f t="shared" si="4"/>
        <v>14737</v>
      </c>
    </row>
    <row r="68" spans="2:11" x14ac:dyDescent="0.25">
      <c r="B68">
        <v>0.35</v>
      </c>
      <c r="C68">
        <v>0.22</v>
      </c>
      <c r="D68" t="s">
        <v>14</v>
      </c>
      <c r="E68" t="s">
        <v>30</v>
      </c>
      <c r="F68" s="1">
        <v>90</v>
      </c>
      <c r="G68">
        <v>293</v>
      </c>
      <c r="H68">
        <v>267</v>
      </c>
      <c r="I68">
        <f>G68+H68</f>
        <v>560</v>
      </c>
      <c r="K68">
        <f t="shared" ref="K68:K88" si="5">F$68*7+I$68*$A2</f>
        <v>630</v>
      </c>
    </row>
    <row r="69" spans="2:11" x14ac:dyDescent="0.25">
      <c r="F69">
        <v>78.5</v>
      </c>
      <c r="K69">
        <f t="shared" si="5"/>
        <v>1190</v>
      </c>
    </row>
    <row r="70" spans="2:11" x14ac:dyDescent="0.25">
      <c r="K70">
        <f t="shared" si="5"/>
        <v>1750</v>
      </c>
    </row>
    <row r="71" spans="2:11" x14ac:dyDescent="0.25">
      <c r="K71">
        <f t="shared" si="5"/>
        <v>2310</v>
      </c>
    </row>
    <row r="72" spans="2:11" x14ac:dyDescent="0.25">
      <c r="K72">
        <f t="shared" si="5"/>
        <v>2870</v>
      </c>
    </row>
    <row r="73" spans="2:11" x14ac:dyDescent="0.25">
      <c r="K73">
        <f t="shared" si="5"/>
        <v>3430</v>
      </c>
    </row>
    <row r="74" spans="2:11" x14ac:dyDescent="0.25">
      <c r="K74">
        <f t="shared" si="5"/>
        <v>3990</v>
      </c>
    </row>
    <row r="75" spans="2:11" x14ac:dyDescent="0.25">
      <c r="K75">
        <f t="shared" si="5"/>
        <v>4550</v>
      </c>
    </row>
    <row r="76" spans="2:11" x14ac:dyDescent="0.25">
      <c r="K76">
        <f t="shared" si="5"/>
        <v>5110</v>
      </c>
    </row>
    <row r="77" spans="2:11" x14ac:dyDescent="0.25">
      <c r="K77">
        <f t="shared" si="5"/>
        <v>5670</v>
      </c>
    </row>
    <row r="78" spans="2:11" x14ac:dyDescent="0.25">
      <c r="K78">
        <f t="shared" si="5"/>
        <v>6230</v>
      </c>
    </row>
    <row r="79" spans="2:11" x14ac:dyDescent="0.25">
      <c r="K79">
        <f t="shared" si="5"/>
        <v>6790</v>
      </c>
    </row>
    <row r="80" spans="2:11" x14ac:dyDescent="0.25">
      <c r="K80">
        <f t="shared" si="5"/>
        <v>7350</v>
      </c>
    </row>
    <row r="81" spans="2:11" x14ac:dyDescent="0.25">
      <c r="K81">
        <f t="shared" si="5"/>
        <v>7910</v>
      </c>
    </row>
    <row r="82" spans="2:11" x14ac:dyDescent="0.25">
      <c r="K82">
        <f t="shared" si="5"/>
        <v>8470</v>
      </c>
    </row>
    <row r="83" spans="2:11" x14ac:dyDescent="0.25">
      <c r="K83">
        <f t="shared" si="5"/>
        <v>9030</v>
      </c>
    </row>
    <row r="84" spans="2:11" x14ac:dyDescent="0.25">
      <c r="K84">
        <f t="shared" si="5"/>
        <v>9590</v>
      </c>
    </row>
    <row r="85" spans="2:11" x14ac:dyDescent="0.25">
      <c r="K85">
        <f t="shared" si="5"/>
        <v>10150</v>
      </c>
    </row>
    <row r="86" spans="2:11" x14ac:dyDescent="0.25">
      <c r="K86">
        <f t="shared" si="5"/>
        <v>10710</v>
      </c>
    </row>
    <row r="87" spans="2:11" x14ac:dyDescent="0.25">
      <c r="K87">
        <f t="shared" si="5"/>
        <v>11270</v>
      </c>
    </row>
    <row r="88" spans="2:11" x14ac:dyDescent="0.25">
      <c r="K88">
        <f t="shared" si="5"/>
        <v>11830</v>
      </c>
    </row>
    <row r="90" spans="2:11" x14ac:dyDescent="0.25">
      <c r="B90">
        <v>0.28999999999999998</v>
      </c>
      <c r="C90">
        <v>0.23</v>
      </c>
      <c r="D90" t="s">
        <v>14</v>
      </c>
      <c r="E90" t="s">
        <v>31</v>
      </c>
      <c r="F90" s="1">
        <v>227</v>
      </c>
      <c r="G90">
        <v>273</v>
      </c>
      <c r="H90">
        <v>244</v>
      </c>
      <c r="I90">
        <f>G90+H90</f>
        <v>517</v>
      </c>
      <c r="K90">
        <f t="shared" ref="K90:K110" si="6">F$90*7+I$90*A2</f>
        <v>1589</v>
      </c>
    </row>
    <row r="91" spans="2:11" x14ac:dyDescent="0.25">
      <c r="K91">
        <f t="shared" si="6"/>
        <v>2106</v>
      </c>
    </row>
    <row r="92" spans="2:11" x14ac:dyDescent="0.25">
      <c r="K92">
        <f t="shared" si="6"/>
        <v>2623</v>
      </c>
    </row>
    <row r="93" spans="2:11" x14ac:dyDescent="0.25">
      <c r="K93">
        <f t="shared" si="6"/>
        <v>3140</v>
      </c>
    </row>
    <row r="94" spans="2:11" x14ac:dyDescent="0.25">
      <c r="K94">
        <f t="shared" si="6"/>
        <v>3657</v>
      </c>
    </row>
    <row r="95" spans="2:11" x14ac:dyDescent="0.25">
      <c r="K95">
        <f t="shared" si="6"/>
        <v>4174</v>
      </c>
    </row>
    <row r="96" spans="2:11" x14ac:dyDescent="0.25">
      <c r="K96">
        <f t="shared" si="6"/>
        <v>4691</v>
      </c>
    </row>
    <row r="97" spans="5:11" x14ac:dyDescent="0.25">
      <c r="K97">
        <f t="shared" si="6"/>
        <v>5208</v>
      </c>
    </row>
    <row r="98" spans="5:11" x14ac:dyDescent="0.25">
      <c r="K98">
        <f t="shared" si="6"/>
        <v>5725</v>
      </c>
    </row>
    <row r="99" spans="5:11" x14ac:dyDescent="0.25">
      <c r="K99">
        <f t="shared" si="6"/>
        <v>6242</v>
      </c>
    </row>
    <row r="100" spans="5:11" x14ac:dyDescent="0.25">
      <c r="K100">
        <f t="shared" si="6"/>
        <v>6759</v>
      </c>
    </row>
    <row r="101" spans="5:11" x14ac:dyDescent="0.25">
      <c r="K101">
        <f t="shared" si="6"/>
        <v>7276</v>
      </c>
    </row>
    <row r="102" spans="5:11" x14ac:dyDescent="0.25">
      <c r="K102">
        <f t="shared" si="6"/>
        <v>7793</v>
      </c>
    </row>
    <row r="103" spans="5:11" x14ac:dyDescent="0.25">
      <c r="K103">
        <f t="shared" si="6"/>
        <v>8310</v>
      </c>
    </row>
    <row r="104" spans="5:11" x14ac:dyDescent="0.25">
      <c r="K104">
        <f t="shared" si="6"/>
        <v>8827</v>
      </c>
    </row>
    <row r="105" spans="5:11" x14ac:dyDescent="0.25">
      <c r="K105">
        <f t="shared" si="6"/>
        <v>9344</v>
      </c>
    </row>
    <row r="106" spans="5:11" x14ac:dyDescent="0.25">
      <c r="K106">
        <f t="shared" si="6"/>
        <v>9861</v>
      </c>
    </row>
    <row r="107" spans="5:11" x14ac:dyDescent="0.25">
      <c r="K107">
        <f t="shared" si="6"/>
        <v>10378</v>
      </c>
    </row>
    <row r="108" spans="5:11" x14ac:dyDescent="0.25">
      <c r="K108">
        <f t="shared" si="6"/>
        <v>10895</v>
      </c>
    </row>
    <row r="109" spans="5:11" x14ac:dyDescent="0.25">
      <c r="K109">
        <f t="shared" si="6"/>
        <v>11412</v>
      </c>
    </row>
    <row r="110" spans="5:11" x14ac:dyDescent="0.25">
      <c r="K110">
        <f t="shared" si="6"/>
        <v>11929</v>
      </c>
    </row>
    <row r="112" spans="5:11" x14ac:dyDescent="0.25">
      <c r="E112" t="s">
        <v>35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G2" sqref="G2:G4"/>
    </sheetView>
  </sheetViews>
  <sheetFormatPr defaultRowHeight="15" x14ac:dyDescent="0.25"/>
  <sheetData>
    <row r="1" spans="1:16" x14ac:dyDescent="0.25">
      <c r="A1" t="s">
        <v>36</v>
      </c>
      <c r="B1" t="s">
        <v>0</v>
      </c>
      <c r="C1" t="s">
        <v>7</v>
      </c>
      <c r="D1" t="s">
        <v>1</v>
      </c>
      <c r="F1" t="s">
        <v>4</v>
      </c>
      <c r="H1" t="s">
        <v>5</v>
      </c>
      <c r="J1" t="s">
        <v>37</v>
      </c>
      <c r="O1" t="s">
        <v>15</v>
      </c>
    </row>
    <row r="2" spans="1:16" x14ac:dyDescent="0.25">
      <c r="A2" t="s">
        <v>32</v>
      </c>
      <c r="B2">
        <v>0.22</v>
      </c>
      <c r="C2">
        <v>0.55000000000000004</v>
      </c>
      <c r="D2" t="s">
        <v>6</v>
      </c>
      <c r="F2">
        <v>300</v>
      </c>
      <c r="G2">
        <f>F2*Ratios!K$2*Ratios!F$7</f>
        <v>234.62911997254369</v>
      </c>
      <c r="H2">
        <v>500</v>
      </c>
      <c r="I2">
        <f>Glazing!H2*Ratios!K$2</f>
        <v>244.18604651162789</v>
      </c>
      <c r="J2">
        <f>G2+I2</f>
        <v>478.81516648417158</v>
      </c>
      <c r="M2" t="s">
        <v>40</v>
      </c>
      <c r="N2" t="s">
        <v>39</v>
      </c>
      <c r="O2" t="s">
        <v>38</v>
      </c>
    </row>
    <row r="3" spans="1:16" x14ac:dyDescent="0.25">
      <c r="A3" t="s">
        <v>33</v>
      </c>
      <c r="B3">
        <v>0.28999999999999998</v>
      </c>
      <c r="C3">
        <v>0.32</v>
      </c>
      <c r="D3" t="s">
        <v>6</v>
      </c>
      <c r="F3">
        <v>350</v>
      </c>
      <c r="G3">
        <f>F3*Ratios!K$2*Ratios!F$7</f>
        <v>273.73397330130098</v>
      </c>
      <c r="H3">
        <v>500</v>
      </c>
      <c r="I3">
        <f>H3*Ratios!K$2</f>
        <v>244.18604651162789</v>
      </c>
      <c r="J3">
        <f t="shared" ref="J3:J4" si="0">G3+I3</f>
        <v>517.9200198129289</v>
      </c>
      <c r="M3">
        <f>J$4*P3</f>
        <v>706.013447400676</v>
      </c>
      <c r="N3">
        <f>J$3*P3</f>
        <v>517.9200198129289</v>
      </c>
      <c r="O3">
        <f t="shared" ref="O3:O22" si="1">J$2*P3</f>
        <v>478.81516648417158</v>
      </c>
      <c r="P3">
        <v>1</v>
      </c>
    </row>
    <row r="4" spans="1:16" x14ac:dyDescent="0.25">
      <c r="A4" t="s">
        <v>34</v>
      </c>
      <c r="B4">
        <v>0.71</v>
      </c>
      <c r="C4">
        <v>0.61</v>
      </c>
      <c r="D4" t="s">
        <v>9</v>
      </c>
      <c r="F4">
        <v>450</v>
      </c>
      <c r="G4">
        <f>F4*Ratios!K$2*Ratios!F$7</f>
        <v>351.94367995881555</v>
      </c>
      <c r="H4">
        <v>725</v>
      </c>
      <c r="I4">
        <f>H4*Ratios!K$2</f>
        <v>354.06976744186045</v>
      </c>
      <c r="J4">
        <f t="shared" si="0"/>
        <v>706.013447400676</v>
      </c>
      <c r="M4">
        <f t="shared" ref="M4:M22" si="2">J$4*P4</f>
        <v>1412.026894801352</v>
      </c>
      <c r="N4">
        <f t="shared" ref="N4:N22" si="3">J$3*P4</f>
        <v>1035.8400396258578</v>
      </c>
      <c r="O4">
        <f t="shared" si="1"/>
        <v>957.63033296834317</v>
      </c>
      <c r="P4">
        <v>2</v>
      </c>
    </row>
    <row r="5" spans="1:16" x14ac:dyDescent="0.25">
      <c r="M5">
        <f t="shared" si="2"/>
        <v>2118.0403422020281</v>
      </c>
      <c r="N5">
        <f t="shared" si="3"/>
        <v>1553.7600594387868</v>
      </c>
      <c r="O5">
        <f t="shared" si="1"/>
        <v>1436.4454994525147</v>
      </c>
      <c r="P5">
        <v>3</v>
      </c>
    </row>
    <row r="6" spans="1:16" x14ac:dyDescent="0.25">
      <c r="M6">
        <f t="shared" si="2"/>
        <v>2824.053789602704</v>
      </c>
      <c r="N6">
        <f t="shared" si="3"/>
        <v>2071.6800792517156</v>
      </c>
      <c r="O6">
        <f t="shared" si="1"/>
        <v>1915.2606659366863</v>
      </c>
      <c r="P6">
        <v>4</v>
      </c>
    </row>
    <row r="7" spans="1:16" x14ac:dyDescent="0.25">
      <c r="M7">
        <f t="shared" si="2"/>
        <v>3530.0672370033799</v>
      </c>
      <c r="N7">
        <f t="shared" si="3"/>
        <v>2589.6000990646444</v>
      </c>
      <c r="O7">
        <f t="shared" si="1"/>
        <v>2394.0758324208578</v>
      </c>
      <c r="P7">
        <v>5</v>
      </c>
    </row>
    <row r="8" spans="1:16" x14ac:dyDescent="0.25">
      <c r="M8">
        <f t="shared" si="2"/>
        <v>4236.0806844040562</v>
      </c>
      <c r="N8">
        <f t="shared" si="3"/>
        <v>3107.5201188775736</v>
      </c>
      <c r="O8">
        <f t="shared" si="1"/>
        <v>2872.8909989050294</v>
      </c>
      <c r="P8">
        <v>6</v>
      </c>
    </row>
    <row r="9" spans="1:16" x14ac:dyDescent="0.25">
      <c r="M9">
        <f t="shared" si="2"/>
        <v>4942.0941318047317</v>
      </c>
      <c r="N9">
        <f t="shared" si="3"/>
        <v>3625.4401386905024</v>
      </c>
      <c r="O9">
        <f t="shared" si="1"/>
        <v>3351.706165389201</v>
      </c>
      <c r="P9">
        <v>7</v>
      </c>
    </row>
    <row r="10" spans="1:16" x14ac:dyDescent="0.25">
      <c r="M10">
        <f t="shared" si="2"/>
        <v>5648.107579205408</v>
      </c>
      <c r="N10">
        <f t="shared" si="3"/>
        <v>4143.3601585034312</v>
      </c>
      <c r="O10">
        <f t="shared" si="1"/>
        <v>3830.5213318733727</v>
      </c>
      <c r="P10">
        <v>8</v>
      </c>
    </row>
    <row r="11" spans="1:16" x14ac:dyDescent="0.25">
      <c r="M11">
        <f t="shared" si="2"/>
        <v>6354.1210266060843</v>
      </c>
      <c r="N11">
        <f t="shared" si="3"/>
        <v>4661.2801783163604</v>
      </c>
      <c r="O11">
        <f t="shared" si="1"/>
        <v>4309.3364983575439</v>
      </c>
      <c r="P11">
        <v>9</v>
      </c>
    </row>
    <row r="12" spans="1:16" x14ac:dyDescent="0.25">
      <c r="M12">
        <f t="shared" si="2"/>
        <v>7060.1344740067598</v>
      </c>
      <c r="N12">
        <f t="shared" si="3"/>
        <v>5179.2001981292888</v>
      </c>
      <c r="O12">
        <f t="shared" si="1"/>
        <v>4788.1516648417155</v>
      </c>
      <c r="P12">
        <v>10</v>
      </c>
    </row>
    <row r="13" spans="1:16" x14ac:dyDescent="0.25">
      <c r="M13">
        <f t="shared" si="2"/>
        <v>7766.1479214074361</v>
      </c>
      <c r="N13">
        <f t="shared" si="3"/>
        <v>5697.120217942218</v>
      </c>
      <c r="O13">
        <f t="shared" si="1"/>
        <v>5266.9668313258871</v>
      </c>
      <c r="P13">
        <v>11</v>
      </c>
    </row>
    <row r="14" spans="1:16" x14ac:dyDescent="0.25">
      <c r="M14">
        <f t="shared" si="2"/>
        <v>8472.1613688081125</v>
      </c>
      <c r="N14">
        <f t="shared" si="3"/>
        <v>6215.0402377551472</v>
      </c>
      <c r="O14">
        <f t="shared" si="1"/>
        <v>5745.7819978100588</v>
      </c>
      <c r="P14">
        <v>12</v>
      </c>
    </row>
    <row r="15" spans="1:16" x14ac:dyDescent="0.25">
      <c r="M15">
        <f t="shared" si="2"/>
        <v>9178.1748162087879</v>
      </c>
      <c r="N15">
        <f t="shared" si="3"/>
        <v>6732.9602575680756</v>
      </c>
      <c r="O15">
        <f t="shared" si="1"/>
        <v>6224.5971642942304</v>
      </c>
      <c r="P15">
        <v>13</v>
      </c>
    </row>
    <row r="16" spans="1:16" x14ac:dyDescent="0.25">
      <c r="M16">
        <f t="shared" si="2"/>
        <v>9884.1882636094633</v>
      </c>
      <c r="N16">
        <f t="shared" si="3"/>
        <v>7250.8802773810048</v>
      </c>
      <c r="O16">
        <f t="shared" si="1"/>
        <v>6703.4123307784021</v>
      </c>
      <c r="P16">
        <v>14</v>
      </c>
    </row>
    <row r="17" spans="13:16" x14ac:dyDescent="0.25">
      <c r="M17">
        <f t="shared" si="2"/>
        <v>10590.201711010141</v>
      </c>
      <c r="N17">
        <f t="shared" si="3"/>
        <v>7768.8002971939331</v>
      </c>
      <c r="O17">
        <f t="shared" si="1"/>
        <v>7182.2274972625737</v>
      </c>
      <c r="P17">
        <v>15</v>
      </c>
    </row>
    <row r="18" spans="13:16" x14ac:dyDescent="0.25">
      <c r="M18">
        <f t="shared" si="2"/>
        <v>11296.215158410816</v>
      </c>
      <c r="N18">
        <f t="shared" si="3"/>
        <v>8286.7203170068624</v>
      </c>
      <c r="O18">
        <f t="shared" si="1"/>
        <v>7661.0426637467453</v>
      </c>
      <c r="P18">
        <v>16</v>
      </c>
    </row>
    <row r="19" spans="13:16" x14ac:dyDescent="0.25">
      <c r="M19">
        <f t="shared" si="2"/>
        <v>12002.228605811491</v>
      </c>
      <c r="N19">
        <f t="shared" si="3"/>
        <v>8804.6403368197916</v>
      </c>
      <c r="O19">
        <f t="shared" si="1"/>
        <v>8139.857830230917</v>
      </c>
      <c r="P19">
        <v>17</v>
      </c>
    </row>
    <row r="20" spans="13:16" x14ac:dyDescent="0.25">
      <c r="M20">
        <f t="shared" si="2"/>
        <v>12708.242053212169</v>
      </c>
      <c r="N20">
        <f t="shared" si="3"/>
        <v>9322.5603566327209</v>
      </c>
      <c r="O20">
        <f t="shared" si="1"/>
        <v>8618.6729967150877</v>
      </c>
      <c r="P20">
        <v>18</v>
      </c>
    </row>
    <row r="21" spans="13:16" x14ac:dyDescent="0.25">
      <c r="M21">
        <f t="shared" si="2"/>
        <v>13414.255500612844</v>
      </c>
      <c r="N21">
        <f t="shared" si="3"/>
        <v>9840.4803764456483</v>
      </c>
      <c r="O21">
        <f t="shared" si="1"/>
        <v>9097.4881631992594</v>
      </c>
      <c r="P21">
        <v>19</v>
      </c>
    </row>
    <row r="22" spans="13:16" x14ac:dyDescent="0.25">
      <c r="M22">
        <f t="shared" si="2"/>
        <v>14120.26894801352</v>
      </c>
      <c r="N22">
        <f t="shared" si="3"/>
        <v>10358.400396258578</v>
      </c>
      <c r="O22">
        <f t="shared" si="1"/>
        <v>9576.303329683431</v>
      </c>
      <c r="P22">
        <v>20</v>
      </c>
    </row>
    <row r="24" spans="13:16" x14ac:dyDescent="0.25">
      <c r="N24">
        <f>(M22-O22)/M22</f>
        <v>0.32180446668966223</v>
      </c>
      <c r="O24">
        <f>(N22-O22)/N22</f>
        <v>7.5503652751021055E-2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O28" sqref="O28"/>
    </sheetView>
  </sheetViews>
  <sheetFormatPr defaultRowHeight="15" x14ac:dyDescent="0.25"/>
  <sheetData>
    <row r="1" spans="1:17" x14ac:dyDescent="0.25">
      <c r="A1" t="s">
        <v>56</v>
      </c>
      <c r="B1" t="s">
        <v>0</v>
      </c>
      <c r="C1" t="s">
        <v>7</v>
      </c>
      <c r="D1" t="s">
        <v>1</v>
      </c>
      <c r="F1" t="s">
        <v>4</v>
      </c>
      <c r="H1" t="s">
        <v>5</v>
      </c>
      <c r="J1" t="s">
        <v>37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</row>
    <row r="2" spans="1:17" x14ac:dyDescent="0.25">
      <c r="A2">
        <v>27</v>
      </c>
      <c r="B2">
        <v>0.26</v>
      </c>
      <c r="C2">
        <v>0.25</v>
      </c>
      <c r="D2" t="s">
        <v>6</v>
      </c>
      <c r="F2">
        <v>360</v>
      </c>
      <c r="G2">
        <f>F2*Ratios!K$2*Ratios!F$7</f>
        <v>281.5549439670524</v>
      </c>
      <c r="H2">
        <v>500</v>
      </c>
      <c r="I2">
        <f>Glazing!H2*Ratios!K$2</f>
        <v>244.18604651162789</v>
      </c>
      <c r="J2">
        <f>G2+I2</f>
        <v>525.74099047868026</v>
      </c>
      <c r="M2">
        <v>1</v>
      </c>
      <c r="N2">
        <f>J$2*M2</f>
        <v>525.74099047868026</v>
      </c>
      <c r="O2">
        <f>$J$3*$M2</f>
        <v>546.26665274041579</v>
      </c>
      <c r="P2">
        <f>$J$4*$M2</f>
        <v>603.91561124929808</v>
      </c>
      <c r="Q2">
        <f>$J$5*$M2</f>
        <v>642.02968603725003</v>
      </c>
    </row>
    <row r="3" spans="1:17" x14ac:dyDescent="0.25">
      <c r="A3">
        <v>22</v>
      </c>
      <c r="B3">
        <v>0.31</v>
      </c>
      <c r="C3">
        <v>0.25</v>
      </c>
      <c r="D3" t="s">
        <v>9</v>
      </c>
      <c r="F3">
        <v>380</v>
      </c>
      <c r="G3">
        <f>F3*Ratios!K$2*Ratios!F$7</f>
        <v>297.19688529855534</v>
      </c>
      <c r="H3">
        <v>510</v>
      </c>
      <c r="I3">
        <f>H3*Ratios!K$2</f>
        <v>249.06976744186045</v>
      </c>
      <c r="J3">
        <f t="shared" ref="J3:J4" si="0">G3+I3</f>
        <v>546.26665274041579</v>
      </c>
      <c r="M3">
        <v>2</v>
      </c>
      <c r="N3">
        <f t="shared" ref="N3:N21" si="1">J$2*M3</f>
        <v>1051.4819809573605</v>
      </c>
      <c r="O3">
        <f t="shared" ref="O3:O21" si="2">$J$3*$M3</f>
        <v>1092.5333054808316</v>
      </c>
      <c r="P3">
        <f t="shared" ref="P3:P21" si="3">$J$4*$M3</f>
        <v>1207.8312224985962</v>
      </c>
      <c r="Q3">
        <f t="shared" ref="Q3:Q21" si="4">$J$5*$M3</f>
        <v>1284.0593720745001</v>
      </c>
    </row>
    <row r="4" spans="1:17" x14ac:dyDescent="0.25">
      <c r="A4">
        <v>14</v>
      </c>
      <c r="B4">
        <v>0.41</v>
      </c>
      <c r="C4">
        <v>0.25</v>
      </c>
      <c r="D4" t="s">
        <v>55</v>
      </c>
      <c r="F4">
        <v>410</v>
      </c>
      <c r="G4">
        <f>F4*Ratios!K$2*Ratios!F$7</f>
        <v>320.65979729580971</v>
      </c>
      <c r="H4">
        <v>580</v>
      </c>
      <c r="I4">
        <f>H4*Ratios!K$2</f>
        <v>283.25581395348837</v>
      </c>
      <c r="J4">
        <f t="shared" si="0"/>
        <v>603.91561124929808</v>
      </c>
      <c r="M4">
        <v>3</v>
      </c>
      <c r="N4">
        <f t="shared" si="1"/>
        <v>1577.2229714360408</v>
      </c>
      <c r="O4">
        <f t="shared" si="2"/>
        <v>1638.7999582212474</v>
      </c>
      <c r="P4">
        <f t="shared" si="3"/>
        <v>1811.7468337478942</v>
      </c>
      <c r="Q4">
        <f t="shared" si="4"/>
        <v>1926.0890581117501</v>
      </c>
    </row>
    <row r="5" spans="1:17" x14ac:dyDescent="0.25">
      <c r="A5">
        <v>8</v>
      </c>
      <c r="B5">
        <v>0.56000000000000005</v>
      </c>
      <c r="C5">
        <v>0.25</v>
      </c>
      <c r="D5" t="s">
        <v>11</v>
      </c>
      <c r="F5">
        <v>440</v>
      </c>
      <c r="G5">
        <f>F5*Ratios!K$2*Ratios!F$7</f>
        <v>344.12270929306408</v>
      </c>
      <c r="H5">
        <v>610</v>
      </c>
      <c r="I5">
        <f>H5*Ratios!K$2</f>
        <v>297.90697674418601</v>
      </c>
      <c r="J5">
        <f t="shared" ref="J5" si="5">G5+I5</f>
        <v>642.02968603725003</v>
      </c>
      <c r="M5">
        <v>4</v>
      </c>
      <c r="N5">
        <f t="shared" si="1"/>
        <v>2102.963961914721</v>
      </c>
      <c r="O5">
        <f t="shared" si="2"/>
        <v>2185.0666109616632</v>
      </c>
      <c r="P5">
        <f t="shared" si="3"/>
        <v>2415.6624449971923</v>
      </c>
      <c r="Q5">
        <f t="shared" si="4"/>
        <v>2568.1187441490001</v>
      </c>
    </row>
    <row r="6" spans="1:17" x14ac:dyDescent="0.25">
      <c r="M6">
        <v>5</v>
      </c>
      <c r="N6">
        <f t="shared" si="1"/>
        <v>2628.7049523934011</v>
      </c>
      <c r="O6">
        <f t="shared" si="2"/>
        <v>2731.333263702079</v>
      </c>
      <c r="P6">
        <f t="shared" si="3"/>
        <v>3019.5780562464906</v>
      </c>
      <c r="Q6">
        <f t="shared" si="4"/>
        <v>3210.1484301862502</v>
      </c>
    </row>
    <row r="7" spans="1:17" x14ac:dyDescent="0.25">
      <c r="M7">
        <v>6</v>
      </c>
      <c r="N7">
        <f t="shared" si="1"/>
        <v>3154.4459428720816</v>
      </c>
      <c r="O7">
        <f t="shared" si="2"/>
        <v>3277.5999164424948</v>
      </c>
      <c r="P7">
        <f t="shared" si="3"/>
        <v>3623.4936674957885</v>
      </c>
      <c r="Q7">
        <f t="shared" si="4"/>
        <v>3852.1781162235002</v>
      </c>
    </row>
    <row r="8" spans="1:17" x14ac:dyDescent="0.25">
      <c r="M8">
        <v>7</v>
      </c>
      <c r="N8">
        <f t="shared" si="1"/>
        <v>3680.186933350762</v>
      </c>
      <c r="O8">
        <f t="shared" si="2"/>
        <v>3823.8665691829106</v>
      </c>
      <c r="P8">
        <f t="shared" si="3"/>
        <v>4227.4092787450863</v>
      </c>
      <c r="Q8">
        <f t="shared" si="4"/>
        <v>4494.2078022607502</v>
      </c>
    </row>
    <row r="9" spans="1:17" x14ac:dyDescent="0.25">
      <c r="M9">
        <v>8</v>
      </c>
      <c r="N9">
        <f t="shared" si="1"/>
        <v>4205.9279238294421</v>
      </c>
      <c r="O9">
        <f t="shared" si="2"/>
        <v>4370.1332219233263</v>
      </c>
      <c r="P9">
        <f t="shared" si="3"/>
        <v>4831.3248899943846</v>
      </c>
      <c r="Q9">
        <f t="shared" si="4"/>
        <v>5136.2374882980002</v>
      </c>
    </row>
    <row r="10" spans="1:17" x14ac:dyDescent="0.25">
      <c r="M10">
        <v>9</v>
      </c>
      <c r="N10">
        <f t="shared" si="1"/>
        <v>4731.6689143081221</v>
      </c>
      <c r="O10">
        <f t="shared" si="2"/>
        <v>4916.3998746637426</v>
      </c>
      <c r="P10">
        <f t="shared" si="3"/>
        <v>5435.240501243683</v>
      </c>
      <c r="Q10">
        <f t="shared" si="4"/>
        <v>5778.2671743352503</v>
      </c>
    </row>
    <row r="11" spans="1:17" x14ac:dyDescent="0.25">
      <c r="M11">
        <v>10</v>
      </c>
      <c r="N11">
        <f t="shared" si="1"/>
        <v>5257.4099047868021</v>
      </c>
      <c r="O11">
        <f t="shared" si="2"/>
        <v>5462.6665274041579</v>
      </c>
      <c r="P11">
        <f t="shared" si="3"/>
        <v>6039.1561124929813</v>
      </c>
      <c r="Q11">
        <f t="shared" si="4"/>
        <v>6420.2968603725003</v>
      </c>
    </row>
    <row r="12" spans="1:17" x14ac:dyDescent="0.25">
      <c r="M12">
        <v>11</v>
      </c>
      <c r="N12">
        <f t="shared" si="1"/>
        <v>5783.1508952654831</v>
      </c>
      <c r="O12">
        <f t="shared" si="2"/>
        <v>6008.9331801445733</v>
      </c>
      <c r="P12">
        <f t="shared" si="3"/>
        <v>6643.0717237422787</v>
      </c>
      <c r="Q12">
        <f t="shared" si="4"/>
        <v>7062.3265464097503</v>
      </c>
    </row>
    <row r="13" spans="1:17" x14ac:dyDescent="0.25">
      <c r="M13">
        <v>12</v>
      </c>
      <c r="N13">
        <f t="shared" si="1"/>
        <v>6308.8918857441631</v>
      </c>
      <c r="O13">
        <f t="shared" si="2"/>
        <v>6555.1998328849895</v>
      </c>
      <c r="P13">
        <f t="shared" si="3"/>
        <v>7246.987334991577</v>
      </c>
      <c r="Q13">
        <f t="shared" si="4"/>
        <v>7704.3562324470004</v>
      </c>
    </row>
    <row r="14" spans="1:17" x14ac:dyDescent="0.25">
      <c r="M14">
        <v>13</v>
      </c>
      <c r="N14">
        <f t="shared" si="1"/>
        <v>6834.6328762228432</v>
      </c>
      <c r="O14">
        <f t="shared" si="2"/>
        <v>7101.4664856254058</v>
      </c>
      <c r="P14">
        <f t="shared" si="3"/>
        <v>7850.9029462408753</v>
      </c>
      <c r="Q14">
        <f t="shared" si="4"/>
        <v>8346.3859184842513</v>
      </c>
    </row>
    <row r="15" spans="1:17" x14ac:dyDescent="0.25">
      <c r="M15">
        <v>14</v>
      </c>
      <c r="N15">
        <f t="shared" si="1"/>
        <v>7360.3738667015241</v>
      </c>
      <c r="O15">
        <f t="shared" si="2"/>
        <v>7647.7331383658211</v>
      </c>
      <c r="P15">
        <f t="shared" si="3"/>
        <v>8454.8185574901727</v>
      </c>
      <c r="Q15">
        <f t="shared" si="4"/>
        <v>8988.4156045215004</v>
      </c>
    </row>
    <row r="16" spans="1:17" x14ac:dyDescent="0.25">
      <c r="M16">
        <v>15</v>
      </c>
      <c r="N16">
        <f t="shared" si="1"/>
        <v>7886.1148571802041</v>
      </c>
      <c r="O16">
        <f t="shared" si="2"/>
        <v>8193.9997911062364</v>
      </c>
      <c r="P16">
        <f t="shared" si="3"/>
        <v>9058.734168739471</v>
      </c>
      <c r="Q16">
        <f t="shared" si="4"/>
        <v>9630.4452905587495</v>
      </c>
    </row>
    <row r="17" spans="13:17" x14ac:dyDescent="0.25">
      <c r="M17">
        <v>16</v>
      </c>
      <c r="N17">
        <f t="shared" si="1"/>
        <v>8411.8558476588842</v>
      </c>
      <c r="O17">
        <f t="shared" si="2"/>
        <v>8740.2664438466527</v>
      </c>
      <c r="P17">
        <f t="shared" si="3"/>
        <v>9662.6497799887693</v>
      </c>
      <c r="Q17">
        <f t="shared" si="4"/>
        <v>10272.474976596</v>
      </c>
    </row>
    <row r="18" spans="13:17" x14ac:dyDescent="0.25">
      <c r="M18">
        <v>17</v>
      </c>
      <c r="N18">
        <f t="shared" si="1"/>
        <v>8937.5968381375642</v>
      </c>
      <c r="O18">
        <f t="shared" si="2"/>
        <v>9286.5330965870689</v>
      </c>
      <c r="P18">
        <f t="shared" si="3"/>
        <v>10266.565391238068</v>
      </c>
      <c r="Q18">
        <f t="shared" si="4"/>
        <v>10914.504662633251</v>
      </c>
    </row>
    <row r="19" spans="13:17" x14ac:dyDescent="0.25">
      <c r="M19">
        <v>18</v>
      </c>
      <c r="N19">
        <f t="shared" si="1"/>
        <v>9463.3378286162442</v>
      </c>
      <c r="O19">
        <f t="shared" si="2"/>
        <v>9832.7997493274852</v>
      </c>
      <c r="P19">
        <f t="shared" si="3"/>
        <v>10870.481002487366</v>
      </c>
      <c r="Q19">
        <f t="shared" si="4"/>
        <v>11556.534348670501</v>
      </c>
    </row>
    <row r="20" spans="13:17" x14ac:dyDescent="0.25">
      <c r="M20">
        <v>19</v>
      </c>
      <c r="N20">
        <f t="shared" si="1"/>
        <v>9989.0788190949243</v>
      </c>
      <c r="O20">
        <f t="shared" si="2"/>
        <v>10379.0664020679</v>
      </c>
      <c r="P20">
        <f t="shared" si="3"/>
        <v>11474.396613736664</v>
      </c>
      <c r="Q20">
        <f t="shared" si="4"/>
        <v>12198.56403470775</v>
      </c>
    </row>
    <row r="21" spans="13:17" x14ac:dyDescent="0.25">
      <c r="M21">
        <v>20</v>
      </c>
      <c r="N21">
        <f t="shared" si="1"/>
        <v>10514.819809573604</v>
      </c>
      <c r="O21">
        <f t="shared" si="2"/>
        <v>10925.333054808316</v>
      </c>
      <c r="P21">
        <f t="shared" si="3"/>
        <v>12078.312224985963</v>
      </c>
      <c r="Q21">
        <f t="shared" si="4"/>
        <v>12840.593720745001</v>
      </c>
    </row>
    <row r="23" spans="13:17" x14ac:dyDescent="0.25">
      <c r="O23">
        <f>(P2-N2)/P2</f>
        <v>0.12944626585972971</v>
      </c>
    </row>
    <row r="24" spans="13:17" x14ac:dyDescent="0.25">
      <c r="O24">
        <f>(P21-O21)/P21</f>
        <v>9.5458632688143363E-2</v>
      </c>
    </row>
    <row r="26" spans="13:17" x14ac:dyDescent="0.25">
      <c r="O26">
        <f>Q21-N21</f>
        <v>2325.7739111713963</v>
      </c>
    </row>
    <row r="27" spans="13:17" x14ac:dyDescent="0.25">
      <c r="O27">
        <f>P21-O21</f>
        <v>1152.9791701776467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Ratios</vt:lpstr>
      <vt:lpstr>Orientation</vt:lpstr>
      <vt:lpstr>Sheet1</vt:lpstr>
      <vt:lpstr>Sheet3</vt:lpstr>
      <vt:lpstr>Glazing</vt:lpstr>
      <vt:lpstr>Framing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Anna J Shafer</cp:lastModifiedBy>
  <cp:lastPrinted>2011-10-18T15:45:46Z</cp:lastPrinted>
  <dcterms:created xsi:type="dcterms:W3CDTF">2011-10-16T04:03:39Z</dcterms:created>
  <dcterms:modified xsi:type="dcterms:W3CDTF">2011-12-08T17:37:16Z</dcterms:modified>
</cp:coreProperties>
</file>